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Wt/gEw6tnyGRxmZ1OyfteUyAqrLguDTFfH+sfKfySahaRcL5yYQeItM/xlli4ESugaYYfh8Jbb2cl3Ge1SCUhw==" workbookSaltValue="CGxN3gDJRv6U3vvMdGa7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R30" i="17"/>
  <c r="K26" i="2"/>
  <c r="N26" i="2"/>
  <c r="M23"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6" i="8" l="1"/>
  <c r="Z14" i="17"/>
  <c r="BD9" i="8"/>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<sst xmlns="http://schemas.openxmlformats.org/spreadsheetml/2006/main" count="2668" uniqueCount="1192">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</sst>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xK1eW63wpJ7l9mqkmQDX57fNtKvZD+D7hy/ZIQnG6+pteOGKSUvHVaTsqIBDQkVYiDVGXdlU/edZkyPQqnlQ==" saltValue="UzIuerngntlbM5rrLe8H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20.14765820521988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101</v>
      </c>
      <c r="D10" s="239">
        <f>IF(ISNUMBER(Datos!I10),Datos!I10," - ")</f>
        <v>101</v>
      </c>
      <c r="E10" s="240">
        <f>IF(ISNUMBER(Datos!J10),Datos!J10," - ")</f>
        <v>58</v>
      </c>
      <c r="F10" s="240">
        <f>IF(ISNUMBER(Datos!K10),Datos!K10," - ")</f>
        <v>56</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1.9801980198019802E-2</v>
      </c>
      <c r="L10" s="1402">
        <f>IF(ISNUMBER(NºAsuntos!I10/NºAsuntos!G10),(NºAsuntos!I10/NºAsuntos!G10)*11," - ")</f>
        <v>20.232142857142858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12.800980392156864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101</v>
      </c>
      <c r="D14" s="1407">
        <f>SUBTOTAL(9,D9:D13)</f>
        <v>101</v>
      </c>
      <c r="E14" s="1408">
        <f>SUBTOTAL(9,E9:E13)</f>
        <v>58</v>
      </c>
      <c r="F14" s="1409">
        <f>SUBTOTAL(9,F9:F13)</f>
        <v>56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3052</v>
      </c>
      <c r="D16" s="239">
        <f>IF(ISNUMBER(IF(D_I="SI",Datos!I16,Datos!I16+Datos!AC16)),IF(D_I="SI",Datos!I16,Datos!I16+Datos!AC16)," - ")</f>
        <v>2950</v>
      </c>
      <c r="E16" s="240">
        <f>IF(ISNUMBER(IF(D_I="SI",Datos!J16,Datos!J16+Datos!AD16)),IF(D_I="SI",Datos!J16,Datos!J16+Datos!AD16)," - ")</f>
        <v>3963</v>
      </c>
      <c r="F16" s="240">
        <f>IF(ISNUMBER(IF(D_I="SI",Datos!K16,Datos!K16+Datos!AE16)),IF(D_I="SI",Datos!K16,Datos!K16+Datos!AE16)," - ")</f>
        <v>4254</v>
      </c>
      <c r="G16" s="1390" t="str">
        <f>IF(Datos!E16&lt;&gt;"",Datos!E16,Datos!D16)</f>
        <v>03</v>
      </c>
      <c r="H16" s="241">
        <f>IF(ISNUMBER(IF(D_I="SI",Datos!L16,Datos!L16+Datos!AF16)),IF(D_I="SI",Datos!L16,Datos!L16+Datos!AF16)," - ")</f>
        <v>2761</v>
      </c>
      <c r="I16" s="1400" t="str">
        <f>IF(ISNUMBER(Datos!AS16/Datos!BM16),Datos!AS16/Datos!BM16," - ")</f>
        <v xml:space="preserve"> - </v>
      </c>
      <c r="J16" s="1401">
        <f>IF(ISNUMBER(Datos!BY16/Datos!CN16),Datos!BY16/Datos!CN16," - ")</f>
        <v>0</v>
      </c>
      <c r="K16" s="244">
        <f t="shared" ref="K16:K22" si="3">IF(ISNUMBER((E16-F16)/C16),(E16-F16)/C16," - ")</f>
        <v>-9.5347313237221495E-2</v>
      </c>
      <c r="L16" s="1402">
        <f>IF(ISNUMBER(NºAsuntos!I16/NºAsuntos!G16),(NºAsuntos!I16/NºAsuntos!G16)*11," - ")</f>
        <v>7.1393982134461682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146</v>
      </c>
      <c r="D18" s="239">
        <f>IF(ISNUMBER(IF(D_I="SI",Datos!I18,Datos!I18+Datos!AC18)),IF(D_I="SI",Datos!I18,Datos!I18+Datos!AC18)," - ")</f>
        <v>146</v>
      </c>
      <c r="E18" s="240">
        <f>IF(ISNUMBER(IF(D_I="SI",Datos!J18,Datos!J18+Datos!AD18)),IF(D_I="SI",Datos!J18,Datos!J18+Datos!AD18)," - ")</f>
        <v>383</v>
      </c>
      <c r="F18" s="240">
        <f>IF(ISNUMBER(IF(D_I="SI",Datos!K18,Datos!K18+Datos!AE18)),IF(D_I="SI",Datos!K18,Datos!K18+Datos!AE18)," - ")</f>
        <v>419</v>
      </c>
      <c r="G18" s="1390" t="str">
        <f>IF(Datos!E18&lt;&gt;"",Datos!E18,Datos!D18)</f>
        <v>37</v>
      </c>
      <c r="H18" s="241">
        <f>IF(ISNUMBER(IF(D_I="SI",Datos!L18,Datos!L18+Datos!AF18)),IF(D_I="SI",Datos!L18,Datos!L18+Datos!AF18)," - ")</f>
        <v>110</v>
      </c>
      <c r="I18" s="1400" t="str">
        <f>IF(ISNUMBER(Datos!AS18/Datos!BM18),Datos!AS18/Datos!BM18," - ")</f>
        <v xml:space="preserve"> - </v>
      </c>
      <c r="J18" s="1401" t="str">
        <f>IF(ISNUMBER((Datos!BY18+Datos!BZ18)/Datos!CN18),(Datos!BY18+Datos!BZ18)/Datos!CN18," - ")</f>
        <v xml:space="preserve"> - </v>
      </c>
      <c r="K18" s="244">
        <f t="shared" si="3"/>
        <v>-0.24657534246575341</v>
      </c>
      <c r="L18" s="1402">
        <f>IF(ISNUMBER(NºAsuntos!I18/NºAsuntos!G18),(NºAsuntos!I18/NºAsuntos!G18)*11," - ")</f>
        <v>2.8878281622911697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3198</v>
      </c>
      <c r="D23" s="1407">
        <f>SUBTOTAL(9,D16:D22)</f>
        <v>3096</v>
      </c>
      <c r="E23" s="1408">
        <f>SUBTOTAL(9,E16:E22)</f>
        <v>4346</v>
      </c>
      <c r="F23" s="1408">
        <f>SUBTOTAL(9,F16:F22)</f>
        <v>4673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3299</v>
      </c>
      <c r="D31" s="1435">
        <f>SUBTOTAL(9,D9:D30)</f>
        <v>3197</v>
      </c>
      <c r="E31" s="1436">
        <f>SUBTOTAL(9,E9:E30)</f>
        <v>4404</v>
      </c>
      <c r="F31" s="1436">
        <f>SUBTOTAL(9,F9:F30)</f>
        <v>4729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VLsvrzlhccQUDdcLp2M4xpBef7NNvMxgG81RTrX/dNAoqunk+RBfV3anmzIYq5IChT9p5uI1JiMobO+lHjaSQ==" saltValue="fyTlkN+HWTz8yF4jMsjU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O83mJcbVT1MXJM/8+J77tGBfUgsqUPrPnVXVQhlGIil6dddjWjkWzMr2Osnn1qpHvpYVUTo+8eVhnUZQm+hPQ==" saltValue="VIXXdfflMpQGhz9JRf3p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10304</v>
      </c>
      <c r="J9" s="194">
        <v>5186</v>
      </c>
      <c r="K9" s="194">
        <v>5387</v>
      </c>
      <c r="L9" s="194">
        <v>10096</v>
      </c>
      <c r="M9" s="194">
        <v>2403</v>
      </c>
      <c r="N9" s="194">
        <v>1501</v>
      </c>
      <c r="O9" s="194">
        <v>2400</v>
      </c>
      <c r="P9" s="194">
        <v>1332</v>
      </c>
      <c r="Q9" s="194">
        <v>1194</v>
      </c>
      <c r="R9" s="194">
        <v>21813</v>
      </c>
      <c r="S9" s="194">
        <v>9190</v>
      </c>
      <c r="T9" s="194">
        <v>5845</v>
      </c>
      <c r="U9" s="194">
        <v>5461</v>
      </c>
      <c r="V9" s="194">
        <v>9574</v>
      </c>
      <c r="W9" s="194">
        <v>1988</v>
      </c>
      <c r="X9" s="201">
        <v>1849</v>
      </c>
      <c r="Y9" s="204">
        <v>116</v>
      </c>
      <c r="Z9" s="194">
        <v>241</v>
      </c>
      <c r="AA9" s="194">
        <v>207</v>
      </c>
      <c r="AB9" s="194">
        <v>150</v>
      </c>
      <c r="AC9" s="194">
        <v>0</v>
      </c>
      <c r="AD9" s="194">
        <v>0</v>
      </c>
      <c r="AE9" s="194">
        <v>0</v>
      </c>
      <c r="AF9" s="201">
        <v>0</v>
      </c>
      <c r="AG9" s="204">
        <v>131</v>
      </c>
      <c r="AH9" s="194">
        <v>285</v>
      </c>
      <c r="AI9" s="194">
        <v>235</v>
      </c>
      <c r="AJ9" s="205">
        <v>181</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9321</v>
      </c>
      <c r="AZ9" s="133">
        <f>IF(ISNUMBER(IF(J_V="SI",T9,T9+AH9)),IF(J_V="SI",T9,T9+AH9)," - ")</f>
        <v>6130</v>
      </c>
      <c r="BA9" s="134">
        <f>IF(ISNUMBER(IF(J_V="SI",U9,U9+AI9)),IF(J_V="SI",U9,U9+AI9)," - ")</f>
        <v>5696</v>
      </c>
      <c r="BB9" s="134">
        <f>IF(ISNUMBER(IF(J_V="SI",V9,V9+AJ9)),IF(J_V="SI",V9,V9+AJ9)," - ")</f>
        <v>9755</v>
      </c>
      <c r="BC9" s="135">
        <f>IF(ISNUMBER(X9),X9," - ")</f>
        <v>1849</v>
      </c>
      <c r="BD9" s="136">
        <f>IF(ISNUMBER(BA9/AZ9),BA9/AZ9," - ")</f>
        <v>0.92920065252854811</v>
      </c>
      <c r="BE9" s="137">
        <f>IF(ISNUMBER(BB9/BA9),BB9/BA9, " - ")</f>
        <v>1.7126053370786516</v>
      </c>
      <c r="BF9" s="137">
        <f>IF(ISNUMBER(BC9/BA9),BC9/BA9, " - ")</f>
        <v>0.3246137640449438</v>
      </c>
      <c r="BG9" s="209">
        <f>IF(ISNUMBER((AY9+AZ9)/BA9),(AY9+AZ9)/BA9," - ")</f>
        <v>2.7126053370786516</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101</v>
      </c>
      <c r="J10" s="194">
        <v>58</v>
      </c>
      <c r="K10" s="194">
        <v>56</v>
      </c>
      <c r="L10" s="194">
        <v>103</v>
      </c>
      <c r="M10" s="194">
        <v>20</v>
      </c>
      <c r="N10" s="194">
        <v>27</v>
      </c>
      <c r="O10" s="194">
        <v>16</v>
      </c>
      <c r="P10" s="194">
        <v>15</v>
      </c>
      <c r="Q10" s="194">
        <v>10</v>
      </c>
      <c r="R10" s="194">
        <v>146</v>
      </c>
      <c r="S10" s="194">
        <v>99</v>
      </c>
      <c r="T10" s="194">
        <v>65</v>
      </c>
      <c r="U10" s="194">
        <v>57</v>
      </c>
      <c r="V10" s="194">
        <v>107</v>
      </c>
      <c r="W10" s="194">
        <v>12</v>
      </c>
      <c r="X10" s="201">
        <v>38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99</v>
      </c>
      <c r="AZ10" s="139">
        <f t="shared" si="0"/>
        <v>65</v>
      </c>
      <c r="BA10" s="139">
        <f t="shared" si="0"/>
        <v>57</v>
      </c>
      <c r="BB10" s="139">
        <f t="shared" si="0"/>
        <v>107</v>
      </c>
      <c r="BC10" s="135">
        <f t="shared" si="0"/>
        <v>12</v>
      </c>
      <c r="BD10" s="136">
        <f>IF(ISNUMBER(BA10/AZ10),BA10/AZ10," - ")</f>
        <v>0.87692307692307692</v>
      </c>
      <c r="BE10" s="137">
        <f>IF(ISNUMBER(BB10/BA10),BB10/BA10, " - ")</f>
        <v>1.8771929824561404</v>
      </c>
      <c r="BF10" s="137">
        <f>IF(ISNUMBER(BC10/BA10),BC10/BA10, " - ")</f>
        <v>0.21052631578947367</v>
      </c>
      <c r="BG10" s="209">
        <f>IF(ISNUMBER((AY10+AZ10)/BA10),(AY10+AZ10)/BA10," - ")</f>
        <v>2.8771929824561404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1142</v>
      </c>
      <c r="J11" s="196">
        <v>634</v>
      </c>
      <c r="K11" s="196">
        <v>700</v>
      </c>
      <c r="L11" s="196">
        <v>1076</v>
      </c>
      <c r="M11" s="196">
        <v>340</v>
      </c>
      <c r="N11" s="196">
        <v>545</v>
      </c>
      <c r="O11" s="194">
        <v>232</v>
      </c>
      <c r="P11" s="196">
        <v>89</v>
      </c>
      <c r="Q11" s="196">
        <v>122</v>
      </c>
      <c r="R11" s="196">
        <v>950</v>
      </c>
      <c r="S11" s="196">
        <v>1386</v>
      </c>
      <c r="T11" s="196">
        <v>703</v>
      </c>
      <c r="U11" s="196">
        <v>740</v>
      </c>
      <c r="V11" s="196">
        <v>1349</v>
      </c>
      <c r="W11" s="196">
        <v>348</v>
      </c>
      <c r="X11" s="202">
        <v>486</v>
      </c>
      <c r="Y11" s="204">
        <v>134</v>
      </c>
      <c r="Z11" s="194">
        <v>297</v>
      </c>
      <c r="AA11" s="194">
        <v>320</v>
      </c>
      <c r="AB11" s="194">
        <v>111</v>
      </c>
      <c r="AC11" s="196">
        <v>0</v>
      </c>
      <c r="AD11" s="196">
        <v>0</v>
      </c>
      <c r="AE11" s="196">
        <v>0</v>
      </c>
      <c r="AF11" s="202">
        <v>0</v>
      </c>
      <c r="AG11" s="215">
        <v>189</v>
      </c>
      <c r="AH11" s="196">
        <v>344</v>
      </c>
      <c r="AI11" s="196">
        <v>316</v>
      </c>
      <c r="AJ11" s="216">
        <v>217</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1575</v>
      </c>
      <c r="AZ11" s="137">
        <f t="shared" si="1"/>
        <v>1047</v>
      </c>
      <c r="BA11" s="137">
        <f t="shared" si="1"/>
        <v>1056</v>
      </c>
      <c r="BB11" s="137">
        <f t="shared" si="1"/>
        <v>1566</v>
      </c>
      <c r="BC11" s="135">
        <f>IF(ISNUMBER(X11),X11," - ")</f>
        <v>486</v>
      </c>
      <c r="BD11" s="136">
        <f t="shared" ref="BD11:BD13" si="2">IF(ISNUMBER(BA11/AZ11),BA11/AZ11," - ")</f>
        <v>1.0085959885386819</v>
      </c>
      <c r="BE11" s="137">
        <f t="shared" ref="BE11:BE13" si="3">IF(ISNUMBER(BB11/BA11),BB11/BA11, " - ")</f>
        <v>1.4829545454545454</v>
      </c>
      <c r="BF11" s="137">
        <f t="shared" ref="BF11:BF13" si="4">IF(ISNUMBER(BC11/BA11),BC11/BA11, " - ")</f>
        <v>0.46022727272727271</v>
      </c>
      <c r="BG11" s="209">
        <f t="shared" ref="BG11:BG13" si="5">IF(ISNUMBER((AY11+AZ11)/BA11),(AY11+AZ11)/BA11," - ")</f>
        <v>2.4829545454545454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11547</v>
      </c>
      <c r="J14" s="197">
        <f t="shared" si="7"/>
        <v>5878</v>
      </c>
      <c r="K14" s="197">
        <f t="shared" si="7"/>
        <v>6143</v>
      </c>
      <c r="L14" s="197">
        <f t="shared" si="7"/>
        <v>11275</v>
      </c>
      <c r="M14" s="197">
        <f t="shared" si="7"/>
        <v>2763</v>
      </c>
      <c r="N14" s="197">
        <f t="shared" si="7"/>
        <v>2073</v>
      </c>
      <c r="O14" s="197">
        <f t="shared" si="7"/>
        <v>2648</v>
      </c>
      <c r="P14" s="197">
        <f t="shared" si="7"/>
        <v>1436</v>
      </c>
      <c r="Q14" s="197">
        <f t="shared" si="7"/>
        <v>1326</v>
      </c>
      <c r="R14" s="197">
        <f t="shared" si="7"/>
        <v>22909</v>
      </c>
      <c r="S14" s="197">
        <f t="shared" si="7"/>
        <v>10675</v>
      </c>
      <c r="T14" s="197">
        <f t="shared" si="7"/>
        <v>6613</v>
      </c>
      <c r="U14" s="197">
        <f t="shared" si="7"/>
        <v>6258</v>
      </c>
      <c r="V14" s="197">
        <f t="shared" si="7"/>
        <v>11030</v>
      </c>
      <c r="W14" s="197">
        <f t="shared" si="7"/>
        <v>2348</v>
      </c>
      <c r="X14" s="197">
        <f t="shared" si="7"/>
        <v>2373</v>
      </c>
      <c r="Y14" s="197">
        <f t="shared" si="7"/>
        <v>250</v>
      </c>
      <c r="Z14" s="197">
        <f t="shared" si="7"/>
        <v>538</v>
      </c>
      <c r="AA14" s="197">
        <f t="shared" si="7"/>
        <v>527</v>
      </c>
      <c r="AB14" s="197">
        <f t="shared" si="7"/>
        <v>261</v>
      </c>
      <c r="AC14" s="197">
        <f t="shared" si="7"/>
        <v>0</v>
      </c>
      <c r="AD14" s="197">
        <f t="shared" si="7"/>
        <v>0</v>
      </c>
      <c r="AE14" s="197">
        <f t="shared" si="7"/>
        <v>0</v>
      </c>
      <c r="AF14" s="197">
        <f>SUBTOTAL(9,AF9:AF13)</f>
        <v>0</v>
      </c>
      <c r="AG14" s="197">
        <f t="shared" ref="AG14:AT14" si="8">SUBTOTAL(9,AG8:AG13)</f>
        <v>320</v>
      </c>
      <c r="AH14" s="197">
        <f t="shared" si="8"/>
        <v>629</v>
      </c>
      <c r="AI14" s="197">
        <f t="shared" si="8"/>
        <v>551</v>
      </c>
      <c r="AJ14" s="197">
        <f t="shared" si="8"/>
        <v>398</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10995</v>
      </c>
      <c r="AZ14" s="197">
        <f>SUBTOTAL(9,AZ8:AZ13)</f>
        <v>7242</v>
      </c>
      <c r="BA14" s="197">
        <f>SUBTOTAL(9,BA8:BA13)</f>
        <v>6809</v>
      </c>
      <c r="BB14" s="197">
        <f>SUBTOTAL(9,BB8:BB13)</f>
        <v>11428</v>
      </c>
      <c r="BC14" s="197">
        <f>SUBTOTAL(9,BC8:BC13)</f>
        <v>2347</v>
      </c>
      <c r="BD14" s="219">
        <f>IF(ISNUMBER(BA14/AZ14),BA14/AZ14," - ")</f>
        <v>0.9402098867716101</v>
      </c>
      <c r="BE14" s="220">
        <f>IF(ISNUMBER(BB14/BA14),BB14/BA14, " - ")</f>
        <v>1.6783668673814069</v>
      </c>
      <c r="BF14" s="220">
        <f>IF(ISNUMBER(BC14/BA14),BC14/BA14, " - ")</f>
        <v>0.34469085034513142</v>
      </c>
      <c r="BG14" s="221">
        <f>IF(ISNUMBER((AY14+AZ14)/BA14),(AY14+AZ14)/BA14," - ")</f>
        <v>2.6783668673814072</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2950</v>
      </c>
      <c r="J16" s="196">
        <v>3963</v>
      </c>
      <c r="K16" s="196">
        <v>4254</v>
      </c>
      <c r="L16" s="196">
        <v>2761</v>
      </c>
      <c r="M16" s="196">
        <v>812</v>
      </c>
      <c r="N16" s="196">
        <v>2304</v>
      </c>
      <c r="O16" s="194">
        <v>319</v>
      </c>
      <c r="P16" s="196">
        <v>370</v>
      </c>
      <c r="Q16" s="196">
        <v>356</v>
      </c>
      <c r="R16" s="196">
        <v>723</v>
      </c>
      <c r="S16" s="196">
        <v>3220</v>
      </c>
      <c r="T16" s="196">
        <v>3452</v>
      </c>
      <c r="U16" s="196">
        <v>4050</v>
      </c>
      <c r="V16" s="196">
        <v>2766</v>
      </c>
      <c r="W16" s="196">
        <v>641</v>
      </c>
      <c r="X16" s="202">
        <v>2294</v>
      </c>
      <c r="Y16" s="215">
        <v>0</v>
      </c>
      <c r="Z16" s="196">
        <v>0</v>
      </c>
      <c r="AA16" s="196">
        <v>0</v>
      </c>
      <c r="AB16" s="196">
        <v>0</v>
      </c>
      <c r="AC16" s="196">
        <v>12</v>
      </c>
      <c r="AD16" s="196">
        <v>1642</v>
      </c>
      <c r="AE16" s="196">
        <v>1602</v>
      </c>
      <c r="AF16" s="202">
        <v>52</v>
      </c>
      <c r="AG16" s="215">
        <v>0</v>
      </c>
      <c r="AH16" s="196">
        <v>0</v>
      </c>
      <c r="AI16" s="196">
        <v>0</v>
      </c>
      <c r="AJ16" s="216">
        <v>0</v>
      </c>
      <c r="AK16" s="195">
        <v>13</v>
      </c>
      <c r="AL16" s="196">
        <v>1474</v>
      </c>
      <c r="AM16" s="196">
        <v>1481</v>
      </c>
      <c r="AN16" s="202">
        <v>6</v>
      </c>
      <c r="AO16" s="283">
        <v>6</v>
      </c>
      <c r="AP16" s="168">
        <v>6</v>
      </c>
      <c r="AQ16" s="168">
        <v>6</v>
      </c>
      <c r="AR16" s="168">
        <v>6</v>
      </c>
      <c r="AS16" s="381" t="s">
        <v>702</v>
      </c>
      <c r="AT16" s="216" t="s">
        <v>424</v>
      </c>
      <c r="AU16" s="215"/>
      <c r="AV16" s="216"/>
      <c r="AW16" s="215"/>
      <c r="AX16" s="216"/>
      <c r="AY16" s="138">
        <f t="shared" ref="AY16:BB17" si="10">IF(ISNUMBER(IF(D_I="SI",S16,S16+AK16)),IF(D_I="SI",S16,S16+AK16)," - ")</f>
        <v>3220</v>
      </c>
      <c r="AZ16" s="139">
        <f t="shared" si="10"/>
        <v>3452</v>
      </c>
      <c r="BA16" s="139">
        <f t="shared" si="10"/>
        <v>4050</v>
      </c>
      <c r="BB16" s="139">
        <f t="shared" si="10"/>
        <v>2766</v>
      </c>
      <c r="BC16" s="135">
        <f>IF(ISNUMBER(W16),W16," - ")</f>
        <v>641</v>
      </c>
      <c r="BD16" s="136">
        <f>IF(ISNUMBER(BA16/AZ16),BA16/AZ16," - ")</f>
        <v>1.1732329084588644</v>
      </c>
      <c r="BE16" s="137">
        <f>IF(ISNUMBER(BB16/BA16),BB16/BA16, " - ")</f>
        <v>0.68296296296296299</v>
      </c>
      <c r="BF16" s="137">
        <f>IF(ISNUMBER(BC16/BA16),BC16/BA16, " - ")</f>
        <v>0.15827160493827161</v>
      </c>
      <c r="BG16" s="209">
        <f t="shared" ref="BG16:BG22" si="11">IF(ISNUMBER((AY16+AZ16)/BA16),(AY16+AZ16)/BA16," - ")</f>
        <v>1.6474074074074074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146</v>
      </c>
      <c r="J18" s="196">
        <v>383</v>
      </c>
      <c r="K18" s="196">
        <v>419</v>
      </c>
      <c r="L18" s="196">
        <v>110</v>
      </c>
      <c r="M18" s="196">
        <v>17</v>
      </c>
      <c r="N18" s="196">
        <v>266</v>
      </c>
      <c r="O18" s="196">
        <v>7</v>
      </c>
      <c r="P18" s="196">
        <v>6</v>
      </c>
      <c r="Q18" s="196">
        <v>7</v>
      </c>
      <c r="R18" s="196">
        <v>6</v>
      </c>
      <c r="S18" s="196">
        <v>162</v>
      </c>
      <c r="T18" s="196">
        <v>399</v>
      </c>
      <c r="U18" s="196">
        <v>436</v>
      </c>
      <c r="V18" s="196">
        <v>125</v>
      </c>
      <c r="W18" s="196">
        <v>14</v>
      </c>
      <c r="X18" s="202">
        <v>255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162</v>
      </c>
      <c r="AZ18" s="139">
        <f t="shared" si="15"/>
        <v>399</v>
      </c>
      <c r="BA18" s="139">
        <f t="shared" si="15"/>
        <v>436</v>
      </c>
      <c r="BB18" s="139">
        <f t="shared" si="15"/>
        <v>125</v>
      </c>
      <c r="BC18" s="135">
        <f>IF(ISNUMBER(W18),W18," - ")</f>
        <v>14</v>
      </c>
      <c r="BD18" s="136">
        <f>IF(ISNUMBER(BA18/AZ18),BA18/AZ18," - ")</f>
        <v>1.0927318295739348</v>
      </c>
      <c r="BE18" s="137">
        <f>IF(ISNUMBER(BB18/BA18),BB18/BA18, " - ")</f>
        <v>0.28669724770642202</v>
      </c>
      <c r="BF18" s="137">
        <f>IF(ISNUMBER(BC18/BA18),BC18/BA18, " - ")</f>
        <v>3.2110091743119268E-2</v>
      </c>
      <c r="BG18" s="209">
        <f>IF(ISNUMBER((AY18+AZ18)/BA18),(AY18+AZ18)/BA18," - ")</f>
        <v>1.286697247706422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3096</v>
      </c>
      <c r="J23" s="197">
        <f t="shared" si="21"/>
        <v>4346</v>
      </c>
      <c r="K23" s="197">
        <f t="shared" si="21"/>
        <v>4673</v>
      </c>
      <c r="L23" s="197">
        <f t="shared" si="21"/>
        <v>2871</v>
      </c>
      <c r="M23" s="197">
        <f t="shared" si="21"/>
        <v>829</v>
      </c>
      <c r="N23" s="197">
        <f t="shared" si="21"/>
        <v>2570</v>
      </c>
      <c r="O23" s="197">
        <f t="shared" si="21"/>
        <v>326</v>
      </c>
      <c r="P23" s="197">
        <f t="shared" si="21"/>
        <v>376</v>
      </c>
      <c r="Q23" s="197">
        <f t="shared" si="21"/>
        <v>363</v>
      </c>
      <c r="R23" s="197">
        <f t="shared" si="21"/>
        <v>729</v>
      </c>
      <c r="S23" s="197">
        <f t="shared" si="21"/>
        <v>3382</v>
      </c>
      <c r="T23" s="197">
        <f t="shared" si="21"/>
        <v>3851</v>
      </c>
      <c r="U23" s="197">
        <f t="shared" si="21"/>
        <v>4486</v>
      </c>
      <c r="V23" s="197">
        <f t="shared" si="21"/>
        <v>2891</v>
      </c>
      <c r="W23" s="197">
        <f t="shared" si="21"/>
        <v>655</v>
      </c>
      <c r="X23" s="197">
        <f t="shared" si="21"/>
        <v>2549</v>
      </c>
      <c r="Y23" s="197">
        <f t="shared" si="21"/>
        <v>0</v>
      </c>
      <c r="Z23" s="197">
        <f t="shared" si="21"/>
        <v>0</v>
      </c>
      <c r="AA23" s="197">
        <f t="shared" si="21"/>
        <v>0</v>
      </c>
      <c r="AB23" s="197">
        <f t="shared" si="21"/>
        <v>0</v>
      </c>
      <c r="AC23" s="197">
        <f t="shared" si="21"/>
        <v>12</v>
      </c>
      <c r="AD23" s="197">
        <f t="shared" si="21"/>
        <v>1642</v>
      </c>
      <c r="AE23" s="197">
        <f t="shared" si="21"/>
        <v>1602</v>
      </c>
      <c r="AF23" s="197">
        <f t="shared" si="21"/>
        <v>52</v>
      </c>
      <c r="AG23" s="197">
        <f t="shared" si="21"/>
        <v>0</v>
      </c>
      <c r="AH23" s="197">
        <f t="shared" si="21"/>
        <v>0</v>
      </c>
      <c r="AI23" s="197">
        <f t="shared" si="21"/>
        <v>0</v>
      </c>
      <c r="AJ23" s="197">
        <f t="shared" si="21"/>
        <v>0</v>
      </c>
      <c r="AK23" s="197">
        <f t="shared" si="21"/>
        <v>13</v>
      </c>
      <c r="AL23" s="197">
        <f t="shared" si="21"/>
        <v>1474</v>
      </c>
      <c r="AM23" s="197">
        <f t="shared" si="21"/>
        <v>1481</v>
      </c>
      <c r="AN23" s="197">
        <f t="shared" si="21"/>
        <v>6</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3382</v>
      </c>
      <c r="AZ23" s="197">
        <f>SUBTOTAL(9,AZ15:AZ22)</f>
        <v>3851</v>
      </c>
      <c r="BA23" s="197">
        <f>SUBTOTAL(9,BA15:BA22)</f>
        <v>4486</v>
      </c>
      <c r="BB23" s="197">
        <f>SUBTOTAL(9,BB15:BB22)</f>
        <v>2891</v>
      </c>
      <c r="BC23" s="197">
        <f>SUBTOTAL(9,BC15:BC22)</f>
        <v>655</v>
      </c>
      <c r="BD23" s="219">
        <f>IF(ISNUMBER(BA23/AZ23),BA23/AZ23," - ")</f>
        <v>1.1648922357829135</v>
      </c>
      <c r="BE23" s="220">
        <f>IF(ISNUMBER(BB23/BA23),BB23/BA23, " - ")</f>
        <v>0.64444939812750779</v>
      </c>
      <c r="BF23" s="220">
        <f>IF(ISNUMBER(BC23/BA23),BC23/BA23, " - ")</f>
        <v>0.14600980829246546</v>
      </c>
      <c r="BG23" s="221">
        <f>IF(ISNUMBER((AY23+AZ23)/BA23),(AY23+AZ23)/BA23," - ")</f>
        <v>1.6123495318769505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14643</v>
      </c>
      <c r="J31" s="144">
        <f t="shared" si="36"/>
        <v>10224</v>
      </c>
      <c r="K31" s="144">
        <f t="shared" si="36"/>
        <v>10816</v>
      </c>
      <c r="L31" s="144">
        <f t="shared" si="36"/>
        <v>14146</v>
      </c>
      <c r="M31" s="144">
        <f t="shared" si="36"/>
        <v>3592</v>
      </c>
      <c r="N31" s="144">
        <f t="shared" si="36"/>
        <v>4643</v>
      </c>
      <c r="O31" s="144">
        <f t="shared" si="36"/>
        <v>2974</v>
      </c>
      <c r="P31" s="144">
        <f t="shared" si="36"/>
        <v>1812</v>
      </c>
      <c r="Q31" s="144">
        <f t="shared" si="36"/>
        <v>1689</v>
      </c>
      <c r="R31" s="144">
        <f t="shared" si="36"/>
        <v>23638</v>
      </c>
      <c r="S31" s="144">
        <f t="shared" si="36"/>
        <v>14057</v>
      </c>
      <c r="T31" s="144">
        <f t="shared" si="36"/>
        <v>10464</v>
      </c>
      <c r="U31" s="144">
        <f t="shared" si="36"/>
        <v>10744</v>
      </c>
      <c r="V31" s="144">
        <f t="shared" si="36"/>
        <v>13921</v>
      </c>
      <c r="W31" s="144">
        <f t="shared" si="36"/>
        <v>3003</v>
      </c>
      <c r="X31" s="144">
        <f t="shared" si="36"/>
        <v>4922</v>
      </c>
      <c r="Y31" s="144">
        <f t="shared" si="36"/>
        <v>250</v>
      </c>
      <c r="Z31" s="144">
        <f t="shared" si="36"/>
        <v>538</v>
      </c>
      <c r="AA31" s="144">
        <f t="shared" si="36"/>
        <v>527</v>
      </c>
      <c r="AB31" s="144">
        <f t="shared" si="36"/>
        <v>261</v>
      </c>
      <c r="AC31" s="144">
        <f t="shared" si="36"/>
        <v>12</v>
      </c>
      <c r="AD31" s="144">
        <f t="shared" si="36"/>
        <v>1642</v>
      </c>
      <c r="AE31" s="144">
        <f t="shared" si="36"/>
        <v>1602</v>
      </c>
      <c r="AF31" s="144">
        <f t="shared" si="36"/>
        <v>52</v>
      </c>
      <c r="AG31" s="144">
        <f t="shared" si="36"/>
        <v>320</v>
      </c>
      <c r="AH31" s="144">
        <f t="shared" si="36"/>
        <v>629</v>
      </c>
      <c r="AI31" s="144">
        <f t="shared" si="36"/>
        <v>551</v>
      </c>
      <c r="AJ31" s="144">
        <f t="shared" si="36"/>
        <v>398</v>
      </c>
      <c r="AK31" s="144">
        <f t="shared" si="36"/>
        <v>13</v>
      </c>
      <c r="AL31" s="144">
        <f t="shared" si="36"/>
        <v>1474</v>
      </c>
      <c r="AM31" s="144">
        <f t="shared" si="36"/>
        <v>1481</v>
      </c>
      <c r="AN31" s="224">
        <f t="shared" si="36"/>
        <v>6</v>
      </c>
      <c r="AO31" s="225">
        <v>22</v>
      </c>
      <c r="AP31" s="225">
        <v>22</v>
      </c>
      <c r="AQ31" s="225">
        <v>22</v>
      </c>
      <c r="AR31" s="225">
        <v>22</v>
      </c>
      <c r="AS31" s="166">
        <f t="shared" si="36"/>
        <v>0</v>
      </c>
      <c r="AT31" s="166">
        <f t="shared" si="36"/>
        <v>0</v>
      </c>
      <c r="AU31" s="225"/>
      <c r="AV31" s="226"/>
      <c r="AW31" s="225"/>
      <c r="AX31" s="226"/>
      <c r="AY31" s="143">
        <f>SUBTOTAL(9,AY9:AY30)</f>
        <v>14377</v>
      </c>
      <c r="AZ31" s="144">
        <f>SUBTOTAL(9,AZ9:AZ30)</f>
        <v>11093</v>
      </c>
      <c r="BA31" s="144">
        <f>SUBTOTAL(9,BA9:BA30)</f>
        <v>11295</v>
      </c>
      <c r="BB31" s="144">
        <f>SUBTOTAL(9,BB9:BB30)</f>
        <v>14319</v>
      </c>
      <c r="BC31" s="145">
        <f>SUBTOTAL(9,BC9:BC30)</f>
        <v>3002</v>
      </c>
      <c r="BD31" s="227">
        <f>IF(ISNUMBER(BA31/AZ31),BA31/AZ31," - ")</f>
        <v>1.0182096817813036</v>
      </c>
      <c r="BE31" s="224">
        <f>IF(ISNUMBER(BB31/BA31),BB31/BA31, " - ")</f>
        <v>1.2677290836653385</v>
      </c>
      <c r="BF31" s="224">
        <f>IF(ISNUMBER(BC31/BA31),BC31/BA31, " - ")</f>
        <v>0.26578131916777337</v>
      </c>
      <c r="BG31" s="145">
        <f>IF(ISNUMBER((AY31+AZ31)/BA31),(AY31+AZ31)/BA31," - ")</f>
        <v>2.2549800796812751</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P4nPaCRtciRjf2Z4upeqWQ7Yqz9NkjUk48X/0oadnjA23CS2+sbgcuaMkGthef8Y9sGcQsmZItpQ95b0XCEw==" saltValue="0gKS6hgCFDVJwxYT59qR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ANgXJcZBcXtBWAFTf/heokg5ULiDEWNBDTkkbCIT+GS8fD9hcuA3tsf9n15thnH+JyXjlBedGi5PlxS/jp8g==" saltValue="Lw0cXUhSmOXD7ZJex8tj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VALLADOLID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241</v>
      </c>
      <c r="O9" s="549"/>
      <c r="P9" s="549"/>
      <c r="Q9" s="547">
        <f>IF(ISNUMBER(Datos!P9),Datos!P9,0)</f>
        <v>1332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150</v>
      </c>
      <c r="AI9" s="549" t="str">
        <f>IF(ISNUMBER(Datos!CD9),Datos!CD9,"-")</f>
        <v>-</v>
      </c>
      <c r="AJ9" s="549" t="str">
        <f>IF(ISNUMBER(Datos!EN9),Datos!EN9," - ")</f>
        <v xml:space="preserve"> - </v>
      </c>
      <c r="AK9" s="549"/>
      <c r="AL9" s="550"/>
      <c r="AM9" s="766">
        <f>IF(ISNUMBER(Datos!R9),Datos!R9," - ")</f>
        <v>21813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2403</v>
      </c>
      <c r="BD9" s="693">
        <f>IF(ISNUMBER(Datos!N9),Datos!N9," - ")</f>
        <v>1501</v>
      </c>
      <c r="BE9" s="693" t="str">
        <f>IF(ISNUMBER(Datos!BW9),Datos!BW9," - ")</f>
        <v xml:space="preserve"> - </v>
      </c>
      <c r="BF9" s="762" t="str">
        <f>IF(ISNUMBER(Datos!BX9),Datos!BX9," - ")</f>
        <v xml:space="preserve"> - </v>
      </c>
      <c r="BG9" s="763">
        <f>IF(ISNUMBER(IF(J_V="SI",Datos!K9/Datos!J9,(Datos!K9+Datos!AA9)/(Datos!J9+Datos!Z9))),IF(J_V="SI",Datos!K9/Datos!J9,(Datos!K9+Datos!AA9)/(Datos!J9+Datos!Z9))," - ")</f>
        <v>1.0307720655979362</v>
      </c>
      <c r="BH9" s="764">
        <f>IF(ISNUMBER(((IF(J_V="SI",Datos!L9/Datos!K9,(Datos!L9+Datos!AB9)/(Datos!K9+Datos!AA9)))*11)/factor_trimestre),((IF(J_V="SI",Datos!L9/Datos!K9,(Datos!L9+Datos!AB9)/(Datos!K9+Datos!AA9)))*11)/factor_trimestre," - ")</f>
        <v>5.494815874150877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6.3667820069204153E-3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101</v>
      </c>
      <c r="G10" s="543">
        <f>IF(ISNUMBER(Datos!I10),Datos!I10," - ")</f>
        <v>101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56</v>
      </c>
      <c r="AC10" s="547">
        <f>IF(ISNUMBER(Datos!Q10),Datos!Q10," - ")</f>
        <v>10</v>
      </c>
      <c r="AD10" s="549"/>
      <c r="AE10" s="563"/>
      <c r="AF10" s="551">
        <f>IF(ISNUMBER(Datos!L10),Datos!L10,"-")</f>
        <v>103</v>
      </c>
      <c r="AG10" s="549"/>
      <c r="AH10" s="549"/>
      <c r="AI10" s="549"/>
      <c r="AJ10" s="549"/>
      <c r="AK10" s="549"/>
      <c r="AL10" s="550"/>
      <c r="AM10" s="766">
        <f>IF(ISNUMBER(Datos!R10),Datos!R10," - ")</f>
        <v>146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27</v>
      </c>
      <c r="BE10" s="693" t="str">
        <f>IF(ISNUMBER(Datos!BW10),Datos!BW10," - ")</f>
        <v xml:space="preserve"> - </v>
      </c>
      <c r="BF10" s="762" t="str">
        <f>IF(ISNUMBER(Datos!BX10),Datos!BX10," - ")</f>
        <v xml:space="preserve"> - </v>
      </c>
      <c r="BG10" s="763">
        <f>IF(ISNUMBER(Datos!K10/Datos!J10),Datos!K10/Datos!J10," - ")</f>
        <v>0.96551724137931039</v>
      </c>
      <c r="BH10" s="764">
        <f>IF(ISNUMBER(((Datos!L10/Datos!K10)*11)/factor_trimestre),((Datos!L10/Datos!K10)*11)/factor_trimestre," - ")</f>
        <v>5.5178571428571432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3.5460992907801421E-2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297</v>
      </c>
      <c r="O11" s="549"/>
      <c r="P11" s="549"/>
      <c r="Q11" s="547">
        <f>IF(ISNUMBER(Datos!P11),Datos!P11,0)</f>
        <v>89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122</v>
      </c>
      <c r="AD11" s="549"/>
      <c r="AE11" s="563"/>
      <c r="AF11" s="551" t="str">
        <f>IF(ISNUMBER(IF(J_V="SI",Datos!L11,Datos!L11+Datos!AB11)-IF(Monitorios="SI",Datos!CD11,0)),
                          IF(J_V="SI",Datos!L11,Datos!L11+Datos!AB11)-IF(Monitorios="SI",Datos!CD11,0),
                          " - ")</f>
        <v xml:space="preserve"> - </v>
      </c>
      <c r="AG11" s="549"/>
      <c r="AH11" s="549">
        <f>IF(ISNUMBER(Datos!AB11),Datos!AB11,"-")</f>
        <v>111</v>
      </c>
      <c r="AI11" s="549"/>
      <c r="AJ11" s="549"/>
      <c r="AK11" s="549"/>
      <c r="AL11" s="550"/>
      <c r="AM11" s="766">
        <f>IF(ISNUMBER(Datos!R11),Datos!R11," - ")</f>
        <v>950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340</v>
      </c>
      <c r="BD11" s="693">
        <f>IF(ISNUMBER(Datos!N11),Datos!N11," - ")</f>
        <v>545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1.0955961331901181</v>
      </c>
      <c r="BH11" s="764">
        <f>IF(ISNUMBER(((IF(J_V="SI",Datos!L11/Datos!K11,(Datos!L11+Datos!AB11)/(Datos!K11+Datos!AA11)))*11)/factor_trimestre),((IF(J_V="SI",Datos!L11/Datos!K11,(Datos!L11+Datos!AB11)/(Datos!K11+Datos!AA11)))*11)/factor_trimestre," - ")</f>
        <v>3.4911764705882358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-3.3570701932858597E-2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101</v>
      </c>
      <c r="G14" s="1197">
        <f t="shared" si="1"/>
        <v>101</v>
      </c>
      <c r="H14" s="1198">
        <f t="shared" si="1"/>
        <v>0</v>
      </c>
      <c r="I14" s="1197">
        <f t="shared" si="1"/>
        <v>0</v>
      </c>
      <c r="J14" s="1164">
        <f t="shared" si="1"/>
        <v>0</v>
      </c>
      <c r="K14" s="1164">
        <f t="shared" si="1"/>
        <v>0</v>
      </c>
      <c r="L14" s="1198">
        <f t="shared" si="1"/>
        <v>0</v>
      </c>
      <c r="M14" s="1198">
        <f t="shared" si="1"/>
        <v>0</v>
      </c>
      <c r="N14" s="1198">
        <f t="shared" si="1"/>
        <v>538</v>
      </c>
      <c r="O14" s="1199">
        <f t="shared" si="1"/>
        <v>0</v>
      </c>
      <c r="P14" s="1199">
        <f t="shared" si="1"/>
        <v>0</v>
      </c>
      <c r="Q14" s="1198">
        <f t="shared" si="1"/>
        <v>1436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56</v>
      </c>
      <c r="AC14" s="1198">
        <f t="shared" si="2"/>
        <v>1326</v>
      </c>
      <c r="AD14" s="1198">
        <f t="shared" si="2"/>
        <v>0</v>
      </c>
      <c r="AE14" s="1198">
        <f t="shared" si="2"/>
        <v>0</v>
      </c>
      <c r="AF14" s="1198">
        <f t="shared" si="2"/>
        <v>103</v>
      </c>
      <c r="AG14" s="1198">
        <f t="shared" si="2"/>
        <v>0</v>
      </c>
      <c r="AH14" s="1198">
        <f t="shared" si="2"/>
        <v>261</v>
      </c>
      <c r="AI14" s="1198">
        <f t="shared" si="2"/>
        <v>0</v>
      </c>
      <c r="AJ14" s="1198">
        <f t="shared" si="2"/>
        <v>0</v>
      </c>
      <c r="AK14" s="1198">
        <f t="shared" si="2"/>
        <v>0</v>
      </c>
      <c r="AL14" s="1198">
        <f t="shared" si="2"/>
        <v>0</v>
      </c>
      <c r="AM14" s="1198">
        <f t="shared" si="2"/>
        <v>22909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2763</v>
      </c>
      <c r="BD14" s="1198">
        <f t="shared" si="2"/>
        <v>2073</v>
      </c>
      <c r="BE14" s="1198">
        <f t="shared" si="2"/>
        <v>0</v>
      </c>
      <c r="BF14" s="1198">
        <f t="shared" si="2"/>
        <v>0</v>
      </c>
      <c r="BG14" s="1198">
        <f>IF(ISNUMBER(Datos!K14/Datos!J14),Datos!K14/Datos!J14," - ")</f>
        <v>1.0450833616876489</v>
      </c>
      <c r="BH14" s="1202">
        <f>IF(ISNUMBER(((Datos!L14/Datos!K14)*11)/factor_trimestre),((Datos!L14/Datos!K14)*11)/factor_trimestre," - ")</f>
        <v>5.5062672961093932</v>
      </c>
      <c r="BI14" s="1198">
        <f>IF(ISNUMBER('Resol  Asuntos'!D14/NºAsuntos!G14),'Resol  Asuntos'!D14/NºAsuntos!G14," - ")</f>
        <v>0.41424287856071962</v>
      </c>
      <c r="BJ14" s="1198" t="str">
        <f>IF(ISNUMBER(Datos!CI14/Datos!CJ14),Datos!CI14/Datos!CJ14," - ")</f>
        <v xml:space="preserve"> - </v>
      </c>
      <c r="BK14" s="1198">
        <f>SUBTOTAL(9,BK8:BK13)</f>
        <v>0</v>
      </c>
      <c r="BL14" s="1198">
        <f>IF(ISNUMBER((I14-AB14+L14)/(F14)),(I14-AB14+L14)/(F14)," - ")</f>
        <v>-0.5544554455445545</v>
      </c>
      <c r="BM14" s="1203">
        <f>SUBTOTAL(9,BM9:BM13)</f>
        <v>8.2570729818632407E-3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3052</v>
      </c>
      <c r="G16" s="743">
        <f>IF(ISNUMBER(IF(D_I="SI",Datos!I16,Datos!I16+Datos!AC16)),IF(D_I="SI",Datos!I16,Datos!I16+Datos!AC16)," - ")</f>
        <v>2950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370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4254</v>
      </c>
      <c r="AC16" s="240">
        <f>IF(ISNUMBER(Datos!Q16),Datos!Q16," - ")</f>
        <v>356</v>
      </c>
      <c r="AD16" s="374"/>
      <c r="AE16" s="562"/>
      <c r="AF16" s="741">
        <f>IF(ISNUMBER(IF(D_I="SI",Datos!L16,Datos!L16+Datos!AF16)),IF(D_I="SI",Datos!L16,Datos!L16+Datos!AF16)," - ")</f>
        <v>2761</v>
      </c>
      <c r="AG16" s="374"/>
      <c r="AH16" s="374"/>
      <c r="AI16" s="374"/>
      <c r="AJ16" s="549"/>
      <c r="AK16" s="374"/>
      <c r="AL16" s="545"/>
      <c r="AM16" s="375">
        <f>IF(ISNUMBER(Datos!R16),Datos!R16," - ")</f>
        <v>723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812</v>
      </c>
      <c r="BD16" s="243">
        <f>IF(ISNUMBER(Datos!N16),Datos!N16," - ")</f>
        <v>2304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1.073429220287661</v>
      </c>
      <c r="BH16" s="764">
        <f>IF(ISNUMBER(((IF(D_I="SI",Datos!L16/Datos!K16,(Datos!L16+Datos!AF16)/(Datos!K16+Datos!AE16)))*11)/factor_trimestre),((IF(D_I="SI",Datos!L16/Datos!K16,(Datos!L16+Datos!AF16)/(Datos!K16+Datos!AE16)))*11)/factor_trimestre," - ")</f>
        <v>1.9471086036671368</v>
      </c>
      <c r="BI16" s="266">
        <f>IF(ISNUMBER('Resol  Asuntos'!D16/NºAsuntos!G16),'Resol  Asuntos'!D16/NºAsuntos!G16," - ")</f>
        <v>0.19087917254348849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419</v>
      </c>
      <c r="AC18" s="547">
        <f>IF(ISNUMBER(Datos!Q18),Datos!Q18," - ")</f>
        <v>7</v>
      </c>
      <c r="AD18" s="549"/>
      <c r="AE18" s="562"/>
      <c r="AF18" s="551">
        <f>IF(ISNUMBER(Datos!L18),Datos!L18,"-")</f>
        <v>110</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266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1.0939947780678851</v>
      </c>
      <c r="BH18" s="764">
        <f>IF(ISNUMBER(((IF(D_I="SI",Datos!L18/Datos!K18,(Datos!L18+Datos!AF18)/(Datos!K18+Datos!AE18)))*11)/factor_trimestre),((IF(D_I="SI",Datos!L18/Datos!K18,(Datos!L18+Datos!AF18)/(Datos!K18+Datos!AE18)))*11)/factor_trimestre," - ")</f>
        <v>0.78758949880668272</v>
      </c>
      <c r="BI18" s="763">
        <f>IF(ISNUMBER('Resol  Asuntos'!D18/NºAsuntos!G18),'Resol  Asuntos'!D18/NºAsuntos!G18," - ")</f>
        <v>4.0572792362768499E-2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3052</v>
      </c>
      <c r="G23" s="1197">
        <f>SUBTOTAL(9,G16:G22)</f>
        <v>3096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4673</v>
      </c>
      <c r="AC23" s="1198">
        <f t="shared" si="5"/>
        <v>363</v>
      </c>
      <c r="AD23" s="1198">
        <f t="shared" si="5"/>
        <v>0</v>
      </c>
      <c r="AE23" s="1198">
        <f t="shared" si="5"/>
        <v>0</v>
      </c>
      <c r="AF23" s="1198">
        <f t="shared" si="5"/>
        <v>2871</v>
      </c>
      <c r="AG23" s="1198">
        <f t="shared" si="5"/>
        <v>0</v>
      </c>
      <c r="AH23" s="1198">
        <f t="shared" si="5"/>
        <v>0</v>
      </c>
      <c r="AI23" s="1198">
        <f t="shared" si="5"/>
        <v>0</v>
      </c>
      <c r="AJ23" s="1198">
        <f t="shared" si="5"/>
        <v>0</v>
      </c>
      <c r="AK23" s="1198">
        <f t="shared" si="5"/>
        <v>0</v>
      </c>
      <c r="AL23" s="1198">
        <f t="shared" si="5"/>
        <v>0</v>
      </c>
      <c r="AM23" s="1198">
        <f t="shared" si="5"/>
        <v>729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829</v>
      </c>
      <c r="BD23" s="1198">
        <f t="shared" si="5"/>
        <v>2570</v>
      </c>
      <c r="BE23" s="1198">
        <f t="shared" si="5"/>
        <v>0</v>
      </c>
      <c r="BF23" s="1198">
        <f t="shared" si="5"/>
        <v>0</v>
      </c>
      <c r="BG23" s="1198">
        <f>IF(ISNUMBER(Datos!K23/Datos!J23),Datos!K23/Datos!J23," - ")</f>
        <v>1.0752416014726185</v>
      </c>
      <c r="BH23" s="1202">
        <f>IF(ISNUMBER(((Datos!L23/Datos!K23)*11)/factor_trimestre),((Datos!L23/Datos!K23)*11)/factor_trimestre," - ")</f>
        <v>1.8431414508880806</v>
      </c>
      <c r="BI23" s="1198">
        <f>SUBTOTAL(9,BI16:BI22)</f>
        <v>0.231451964906257</v>
      </c>
      <c r="BJ23" s="1198">
        <f>SUBTOTAL(9,BJ16:BJ22)</f>
        <v>0</v>
      </c>
      <c r="BK23" s="1198">
        <f>SUBTOTAL(9,BK16:BK22)</f>
        <v>0</v>
      </c>
      <c r="BL23" s="1198">
        <f>IF(ISNUMBER((I23-AB23+L23)/(F23)),(I23-AB23+L23)/(F23)," - ")</f>
        <v>-1.531127129750983</v>
      </c>
      <c r="BM23" s="1205">
        <f>IF(ISNUMBER((Datos!P23-Datos!Q23)/(Datos!R23-Datos!P23+Datos!Q23)),(Datos!P23-Datos!Q23)/(Datos!R23-Datos!P23+Datos!Q23)," - ")</f>
        <v>1.8156424581005588E-2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23</v>
      </c>
      <c r="F31" s="1117">
        <f t="shared" si="18"/>
        <v>3153</v>
      </c>
      <c r="G31" s="1117">
        <f t="shared" si="18"/>
        <v>3197</v>
      </c>
      <c r="H31" s="1119">
        <f t="shared" si="18"/>
        <v>0</v>
      </c>
      <c r="I31" s="1117">
        <f t="shared" si="18"/>
        <v>0</v>
      </c>
      <c r="J31" s="1119">
        <f t="shared" si="18"/>
        <v>0</v>
      </c>
      <c r="K31" s="1119">
        <f t="shared" si="18"/>
        <v>0</v>
      </c>
      <c r="L31" s="1180">
        <f t="shared" si="18"/>
        <v>0</v>
      </c>
      <c r="M31" s="1180">
        <f t="shared" si="18"/>
        <v>0</v>
      </c>
      <c r="N31" s="1180">
        <f t="shared" si="18"/>
        <v>538</v>
      </c>
      <c r="O31" s="1180">
        <f t="shared" si="18"/>
        <v>0</v>
      </c>
      <c r="P31" s="1180">
        <f t="shared" si="18"/>
        <v>0</v>
      </c>
      <c r="Q31" s="1119">
        <f t="shared" si="18"/>
        <v>1812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4729</v>
      </c>
      <c r="AC31" s="1118">
        <f t="shared" si="19"/>
        <v>1689</v>
      </c>
      <c r="AD31" s="1118">
        <f t="shared" si="19"/>
        <v>0</v>
      </c>
      <c r="AE31" s="1118">
        <f t="shared" si="19"/>
        <v>0</v>
      </c>
      <c r="AF31" s="1125">
        <f t="shared" si="19"/>
        <v>2974</v>
      </c>
      <c r="AG31" s="1125">
        <f t="shared" si="19"/>
        <v>0</v>
      </c>
      <c r="AH31" s="1125">
        <f t="shared" si="19"/>
        <v>261</v>
      </c>
      <c r="AI31" s="1125">
        <f t="shared" si="19"/>
        <v>0</v>
      </c>
      <c r="AJ31" s="1118">
        <f t="shared" si="19"/>
        <v>0</v>
      </c>
      <c r="AK31" s="1125">
        <f t="shared" si="19"/>
        <v>0</v>
      </c>
      <c r="AL31" s="1125">
        <f t="shared" si="19"/>
        <v>0</v>
      </c>
      <c r="AM31" s="1125">
        <f t="shared" si="19"/>
        <v>23638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3592</v>
      </c>
      <c r="BD31" s="1117">
        <f t="shared" si="19"/>
        <v>4643</v>
      </c>
      <c r="BE31" s="1117">
        <f t="shared" si="19"/>
        <v>0</v>
      </c>
      <c r="BF31" s="1127">
        <f t="shared" si="19"/>
        <v>0</v>
      </c>
      <c r="BG31" s="1223">
        <f>IF(ISNUMBER(Datos!K31/Datos!J31),Datos!K31/Datos!J31," - ")</f>
        <v>1.0579029733959311</v>
      </c>
      <c r="BH31" s="1223">
        <f>IF(ISNUMBER(((Datos!L31/Datos!K31)*11)/factor_trimestre),((Datos!L31/Datos!K31)*11)/factor_trimestre," - ")</f>
        <v>3.923631656804734</v>
      </c>
      <c r="BI31" s="1103">
        <f>IF(ISNUMBER(Datos!J31/Datos!I31),Datos!J31/Datos!I31," - ")</f>
        <v>0.69821757836508913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-1.4998414208690136</v>
      </c>
      <c r="BM31" s="1188">
        <f>IF(ISNUMBER((Datos!P31-Datos!Q31+R31)/(Datos!R31-Datos!P31+Datos!Q31-R31)),(Datos!P31-Datos!Q31+R31)/(Datos!R31-Datos!P31+Datos!Q31-R31)," - ")</f>
        <v>5.2307038060812249E-3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4.6225989500097864</v>
      </c>
      <c r="F33" s="673">
        <f>IF(ISNUMBER(STDEV(F8:F30)),STDEV(F8:F30),"-")</f>
        <v>1550.6259381295026</v>
      </c>
      <c r="G33" s="674">
        <f>IF(ISNUMBER(STDEV(G8:G30)),STDEV(G8:G30),"-")</f>
        <v>1442.7388141012516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2134.485451544972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1068.7038619020914</v>
      </c>
      <c r="BD33" s="673"/>
      <c r="BE33" s="673">
        <f>IF(ISNUMBER(STDEV(BE8:BE30)),STDEV(BE8:BE30),"-")</f>
        <v>0</v>
      </c>
      <c r="BF33" s="678">
        <f>IF(ISNUMBER(STDEV(BF8:BF30)),STDEV(BF8:BF30),"-")</f>
        <v>0</v>
      </c>
      <c r="BG33" s="1052">
        <f>IF(ISNUMBER(STDEV(BG8:BG30)),STDEV(BG8:BG30),"-")</f>
        <v>4.5837359475008839E-2</v>
      </c>
      <c r="BH33" s="1058">
        <f>IF(ISNUMBER(STDEV(BH8:BH30)),STDEV(BH8:BH30),"-")</f>
        <v>2.0243905098502797</v>
      </c>
      <c r="BI33" s="273">
        <f>IF(ISNUMBER(STDEV(BI8:BI30)),STDEV(BI8:BI30),"-")</f>
        <v>0.15373305177959182</v>
      </c>
      <c r="BJ33" s="244" t="str">
        <f>IF(ISNUMBER(BL33/BM33),BL33/BM33," - ")</f>
        <v xml:space="preserve"> - </v>
      </c>
      <c r="BK33" s="709"/>
      <c r="BL33" s="681">
        <f>IF(ISNUMBER(STDEV(BL8:BL30)),STDEV(BL8:BL30),"-")</f>
        <v>0.69061117089525192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ecKJxh65H9nfuHk/I9onvebknMpNOusPrH23GF13/X/gs7Qa67/pQVV3e4APsgZve3Yitts+ukvdiHs4zgGDg==" saltValue="fDc+A3uMKvQaQjx4ZhP3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VALLADOLID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1332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1194</v>
      </c>
      <c r="AA9" s="551" t="str">
        <f>IF(ISNUMBER(IF(J_V="SI",Datos!L9,Datos!L9+Datos!AB9)-IF(Monitorios="SI",Datos!CD9,0)),
                          IF(J_V="SI",Datos!L9,Datos!L9+Datos!AB9)-IF(Monitorios="SI",Datos!CD9,0),
                          " - ")</f>
        <v xml:space="preserve"> - </v>
      </c>
      <c r="AB9" s="549"/>
      <c r="AC9" s="549"/>
      <c r="AD9" s="563"/>
      <c r="AE9" s="563">
        <f>IF(ISNUMBER(Datos!R9),Datos!R9," - ")</f>
        <v>21813</v>
      </c>
      <c r="AF9" s="693" t="str">
        <f>IF(ISNUMBER(Datos!BV9),Datos!BV9," - ")</f>
        <v xml:space="preserve"> - </v>
      </c>
      <c r="AG9" s="552" t="str">
        <f>IF(ISNUMBER(Datos!DV9),Datos!DV9," - ")</f>
        <v xml:space="preserve"> - </v>
      </c>
      <c r="AH9" s="553"/>
      <c r="AI9" s="554"/>
      <c r="AJ9" s="552">
        <f>IF(ISNUMBER(Datos!M9),Datos!M9," - ")</f>
        <v>2403</v>
      </c>
      <c r="AK9" s="693">
        <f>IF(ISNUMBER(Datos!N9),Datos!N9," - ")</f>
        <v>1501</v>
      </c>
      <c r="AL9" s="693" t="str">
        <f>IF(ISNUMBER(Datos!BW9),Datos!BW9," - ")</f>
        <v xml:space="preserve"> - </v>
      </c>
      <c r="AM9" s="762" t="str">
        <f>IF(ISNUMBER(Datos!BX9),Datos!BX9," - ")</f>
        <v xml:space="preserve"> - </v>
      </c>
      <c r="AN9" s="763"/>
      <c r="AO9" s="764">
        <f>IF(ISNUMBER(((NºAsuntos!I9/NºAsuntos!G9)*11)/factor_trimestre),((NºAsuntos!I9/NºAsuntos!G9)*11)/factor_trimestre," - ")</f>
        <v>5.494815874150877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6.3667820069204153E-3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101</v>
      </c>
      <c r="G10" s="552">
        <f>IF(ISNUMBER(Datos!I10),Datos!I10," - ")</f>
        <v>101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56</v>
      </c>
      <c r="Z10" s="805">
        <f>IF(ISNUMBER(Datos!Q10),Datos!Q10," - ")</f>
        <v>10</v>
      </c>
      <c r="AA10" s="551">
        <f>IF(ISNUMBER(Datos!L10),Datos!L10,"-")</f>
        <v>103</v>
      </c>
      <c r="AB10" s="549"/>
      <c r="AC10" s="549"/>
      <c r="AD10" s="563"/>
      <c r="AE10" s="563">
        <f>IF(ISNUMBER(Datos!R10),Datos!R10," - ")</f>
        <v>146</v>
      </c>
      <c r="AF10" s="693" t="str">
        <f>IF(ISNUMBER(Datos!BV10),Datos!BV10," - ")</f>
        <v xml:space="preserve"> - </v>
      </c>
      <c r="AG10" s="552" t="str">
        <f>IF(ISNUMBER(Datos!DV10),Datos!DV10," - ")</f>
        <v xml:space="preserve"> - </v>
      </c>
      <c r="AH10" s="553"/>
      <c r="AI10" s="554"/>
      <c r="AJ10" s="552">
        <f>IF(ISNUMBER(Datos!M10),Datos!M10," - ")</f>
        <v>20</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5.5178571428571432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3.5460992907801421E-2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122</v>
      </c>
      <c r="AA11" s="551" t="str">
        <f>IF(ISNUMBER(IF(J_V="SI",Datos!L11,Datos!L11+Datos!AB11)-IF(Monitorios="SI",Datos!CD11,0)),
                          IF(J_V="SI",Datos!L11,Datos!L11+Datos!AB11)-IF(Monitorios="SI",Datos!CD11,0),
                          " - ")</f>
        <v xml:space="preserve"> - </v>
      </c>
      <c r="AB11" s="549"/>
      <c r="AC11" s="549"/>
      <c r="AD11" s="563"/>
      <c r="AE11" s="563">
        <f>IF(ISNUMBER(Datos!R11),Datos!R11," - ")</f>
        <v>950</v>
      </c>
      <c r="AF11" s="693" t="str">
        <f>IF(ISNUMBER(Datos!BV11),Datos!BV11," - ")</f>
        <v xml:space="preserve"> - </v>
      </c>
      <c r="AG11" s="552" t="str">
        <f>IF(ISNUMBER(Datos!DV11),Datos!DV11," - ")</f>
        <v xml:space="preserve"> - </v>
      </c>
      <c r="AH11" s="553"/>
      <c r="AI11" s="554"/>
      <c r="AJ11" s="552">
        <f>IF(ISNUMBER(Datos!M11),Datos!M11," - ")</f>
        <v>340</v>
      </c>
      <c r="AK11" s="693">
        <f>IF(ISNUMBER(Datos!N11),Datos!N11," - ")</f>
        <v>545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3.4911764705882358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-3.3570701932858597E-2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101</v>
      </c>
      <c r="G14" s="1197">
        <f>SUBTOTAL(9,G8:G13)</f>
        <v>101</v>
      </c>
      <c r="H14" s="1211"/>
      <c r="I14" s="1197">
        <f t="shared" ref="I14:N14" si="1">SUBTOTAL(9,I8:I13)</f>
        <v>0</v>
      </c>
      <c r="J14" s="1164">
        <f t="shared" si="1"/>
        <v>0</v>
      </c>
      <c r="K14" s="1211">
        <f t="shared" si="1"/>
        <v>0</v>
      </c>
      <c r="L14" s="1211">
        <f t="shared" si="1"/>
        <v>0</v>
      </c>
      <c r="M14" s="1211">
        <f t="shared" si="1"/>
        <v>0</v>
      </c>
      <c r="N14" s="1211">
        <f t="shared" si="1"/>
        <v>1436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56</v>
      </c>
      <c r="Z14" s="1210">
        <f t="shared" si="3"/>
        <v>1326</v>
      </c>
      <c r="AA14" s="1199">
        <f t="shared" si="3"/>
        <v>103</v>
      </c>
      <c r="AB14" s="1199">
        <f t="shared" si="3"/>
        <v>0</v>
      </c>
      <c r="AC14" s="1199">
        <f t="shared" si="3"/>
        <v>0</v>
      </c>
      <c r="AD14" s="1199">
        <f t="shared" si="3"/>
        <v>0</v>
      </c>
      <c r="AE14" s="1199">
        <f t="shared" si="3"/>
        <v>22909</v>
      </c>
      <c r="AF14" s="1211">
        <f t="shared" si="3"/>
        <v>0</v>
      </c>
      <c r="AG14" s="1211">
        <f t="shared" si="3"/>
        <v>0</v>
      </c>
      <c r="AH14" s="1211">
        <f t="shared" si="3"/>
        <v>0</v>
      </c>
      <c r="AI14" s="1211">
        <f t="shared" si="3"/>
        <v>0</v>
      </c>
      <c r="AJ14" s="1211">
        <f t="shared" si="3"/>
        <v>2763</v>
      </c>
      <c r="AK14" s="1211">
        <f t="shared" si="3"/>
        <v>2073</v>
      </c>
      <c r="AL14" s="1211">
        <f t="shared" si="3"/>
        <v>0</v>
      </c>
      <c r="AM14" s="1211">
        <f t="shared" si="3"/>
        <v>0</v>
      </c>
      <c r="AN14" s="1211">
        <f t="shared" si="3"/>
        <v>0</v>
      </c>
      <c r="AO14" s="1203">
        <f>IF(ISNUMBER(((NºAsuntos!I14/NºAsuntos!G14)*11)/factor_trimestre),((NºAsuntos!I14/NºAsuntos!G14)*11)/factor_trimestre," - ")</f>
        <v>5.1886056971514245</v>
      </c>
      <c r="AP14" s="1213" t="str">
        <f>IF(ISNUMBER(Datos!CI14/Datos!CJ14),Datos!CI14/Datos!CJ14," - ")</f>
        <v xml:space="preserve"> - </v>
      </c>
      <c r="AQ14" s="1236">
        <f t="shared" ref="AQ14:AV14" si="4">SUBTOTAL(9,AQ9:AQ13)</f>
        <v>0</v>
      </c>
      <c r="AR14" s="1236">
        <f t="shared" si="4"/>
        <v>8.2570729818632407E-3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3052</v>
      </c>
      <c r="G16" s="552">
        <f>IF(ISNUMBER(IF(D_I="SI",Datos!I16,Datos!I16+Datos!AC16)),IF(D_I="SI",Datos!I16,Datos!I16+Datos!AC16)," - ")</f>
        <v>2950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370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4254</v>
      </c>
      <c r="Z16" s="805">
        <f>IF(ISNUMBER(Datos!Q16),Datos!Q16," - ")</f>
        <v>356</v>
      </c>
      <c r="AA16" s="551">
        <f>IF(ISNUMBER(IF(D_I="SI",Datos!L16,Datos!L16+Datos!AF16)),IF(D_I="SI",Datos!L16,Datos!L16+Datos!AF16)," - ")</f>
        <v>2761</v>
      </c>
      <c r="AB16" s="549"/>
      <c r="AC16" s="549"/>
      <c r="AD16" s="563"/>
      <c r="AE16" s="563">
        <f>IF(ISNUMBER(Datos!R16),Datos!R16," - ")</f>
        <v>723</v>
      </c>
      <c r="AF16" s="693" t="str">
        <f>IF(ISNUMBER(Datos!BV16),Datos!BV16," - ")</f>
        <v xml:space="preserve"> - </v>
      </c>
      <c r="AG16" s="552"/>
      <c r="AH16" s="553"/>
      <c r="AI16" s="554"/>
      <c r="AJ16" s="552">
        <f>IF(ISNUMBER(Datos!M16),Datos!M16," - ")</f>
        <v>812</v>
      </c>
      <c r="AK16" s="693">
        <f>IF(ISNUMBER(Datos!N16),Datos!N16," - ")</f>
        <v>2304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1.9471086036671368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419</v>
      </c>
      <c r="Z18" s="805">
        <f>IF(ISNUMBER(Datos!Q18),Datos!Q18," - ")</f>
        <v>7</v>
      </c>
      <c r="AA18" s="551">
        <f>IF(ISNUMBER(Datos!L18),Datos!L18,"-")</f>
        <v>110</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17</v>
      </c>
      <c r="AK18" s="693">
        <f>IF(ISNUMBER(Datos!N18),Datos!N18," - ")</f>
        <v>266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0.78758949880668272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3052</v>
      </c>
      <c r="G23" s="1197">
        <f>SUBTOTAL(9,G16:G22)</f>
        <v>3096</v>
      </c>
      <c r="H23" s="1240">
        <f>SUBTOTAL(9,H16:H22)</f>
        <v>0</v>
      </c>
      <c r="I23" s="1217">
        <f>SUBTOTAL(9,I16:I22)</f>
        <v>0</v>
      </c>
      <c r="J23" s="1164">
        <f>SUBTOTAL(9,J15:J22)</f>
        <v>0</v>
      </c>
      <c r="K23" s="1240">
        <f t="shared" ref="K23:S23" si="5">SUBTOTAL(9,K16:K22)</f>
        <v>0</v>
      </c>
      <c r="L23" s="1240">
        <f t="shared" si="5"/>
        <v>0</v>
      </c>
      <c r="M23" s="1240">
        <f t="shared" si="5"/>
        <v>0</v>
      </c>
      <c r="N23" s="1240">
        <f t="shared" si="5"/>
        <v>376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4673</v>
      </c>
      <c r="Z23" s="1240">
        <f t="shared" si="6"/>
        <v>363</v>
      </c>
      <c r="AA23" s="1240">
        <f t="shared" si="6"/>
        <v>2871</v>
      </c>
      <c r="AB23" s="1240">
        <f t="shared" si="6"/>
        <v>0</v>
      </c>
      <c r="AC23" s="1240">
        <f t="shared" si="6"/>
        <v>0</v>
      </c>
      <c r="AD23" s="1240">
        <f t="shared" si="6"/>
        <v>0</v>
      </c>
      <c r="AE23" s="1240">
        <f t="shared" si="6"/>
        <v>729</v>
      </c>
      <c r="AF23" s="1240">
        <f t="shared" si="6"/>
        <v>0</v>
      </c>
      <c r="AG23" s="1240">
        <f t="shared" si="6"/>
        <v>0</v>
      </c>
      <c r="AH23" s="1240">
        <f t="shared" si="6"/>
        <v>0</v>
      </c>
      <c r="AI23" s="1240">
        <f t="shared" si="6"/>
        <v>0</v>
      </c>
      <c r="AJ23" s="1240">
        <f t="shared" si="6"/>
        <v>829</v>
      </c>
      <c r="AK23" s="1240">
        <f t="shared" si="6"/>
        <v>2570</v>
      </c>
      <c r="AL23" s="1240">
        <f t="shared" si="6"/>
        <v>0</v>
      </c>
      <c r="AM23" s="1240">
        <f t="shared" si="6"/>
        <v>0</v>
      </c>
      <c r="AN23" s="1240">
        <f t="shared" si="6"/>
        <v>0</v>
      </c>
      <c r="AO23" s="1242">
        <f>IF(ISNUMBER(((NºAsuntos!I23/NºAsuntos!G23)*11)/factor_trimestre),((NºAsuntos!I23/NºAsuntos!G23)*11)/factor_trimestre," - ")</f>
        <v>1.8431414508880806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3153</v>
      </c>
      <c r="G31" s="1117">
        <f t="shared" si="12"/>
        <v>3197</v>
      </c>
      <c r="H31" s="1118">
        <f t="shared" si="12"/>
        <v>0</v>
      </c>
      <c r="I31" s="1117">
        <f t="shared" si="12"/>
        <v>0</v>
      </c>
      <c r="J31" s="1119">
        <f t="shared" si="12"/>
        <v>0</v>
      </c>
      <c r="K31" s="1117">
        <f t="shared" si="12"/>
        <v>0</v>
      </c>
      <c r="L31" s="1120">
        <f t="shared" si="12"/>
        <v>0</v>
      </c>
      <c r="M31" s="1117">
        <f t="shared" si="12"/>
        <v>0</v>
      </c>
      <c r="N31" s="1118">
        <f t="shared" si="12"/>
        <v>1812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4729</v>
      </c>
      <c r="Z31" s="1124">
        <f t="shared" si="13"/>
        <v>1689</v>
      </c>
      <c r="AA31" s="1125">
        <f t="shared" si="13"/>
        <v>2974</v>
      </c>
      <c r="AB31" s="1125">
        <f t="shared" si="13"/>
        <v>0</v>
      </c>
      <c r="AC31" s="1125">
        <f t="shared" si="13"/>
        <v>0</v>
      </c>
      <c r="AD31" s="1126">
        <f t="shared" si="13"/>
        <v>0</v>
      </c>
      <c r="AE31" s="1126">
        <f t="shared" si="13"/>
        <v>23638</v>
      </c>
      <c r="AF31" s="1127">
        <f t="shared" si="13"/>
        <v>0</v>
      </c>
      <c r="AG31" s="1128">
        <f t="shared" si="13"/>
        <v>0</v>
      </c>
      <c r="AH31" s="1129">
        <f t="shared" si="13"/>
        <v>0</v>
      </c>
      <c r="AI31" s="1127">
        <f t="shared" si="13"/>
        <v>0</v>
      </c>
      <c r="AJ31" s="1117">
        <f t="shared" si="13"/>
        <v>3592</v>
      </c>
      <c r="AK31" s="1117">
        <f t="shared" si="13"/>
        <v>4643</v>
      </c>
      <c r="AL31" s="1117">
        <f t="shared" si="13"/>
        <v>0</v>
      </c>
      <c r="AM31" s="1130">
        <f t="shared" si="13"/>
        <v>0</v>
      </c>
      <c r="AN31" s="1120">
        <f>IF(ISNUMBER(Datos!K31/Datos!J31),Datos!K31/Datos!J31," - ")</f>
        <v>1.0579029733959311</v>
      </c>
      <c r="AO31" s="1120">
        <f>IF(ISNUMBER(FIND("06",Criterios!A8,1)),(IF(ISNUMBER(((Datos!R31/Datos!Q31)*11)/factor_trimestre),((Datos!R31/Datos!Q31)*11)/factor_trimestre," - ")),(IF(ISNUMBER(((Datos!L31/Datos!K31)*11)/factor_trimestre),((Datos!L31/Datos!K31)*11)/factor_trimestre," - ")))</f>
        <v>3.923631656804734</v>
      </c>
      <c r="AP31" s="1131" t="str">
        <f>IF(ISNUMBER(Datos!CI31/Datos!CJ31),Datos!CI31/Datos!CJ31," - ")</f>
        <v xml:space="preserve"> - </v>
      </c>
      <c r="AQ31" s="1131">
        <f>IF(OR(ISNUMBER(FIND("01",Criterios!A8,1)),ISNUMBER(FIND("02",Criterios!A8,1)),ISNUMBER(FIND("03",Criterios!A8,1)),ISNUMBER(FIND("04",Criterios!A8,1))),(J31-Y31+K31)/(F31-K31),(I31-Y31+K31)/(F31-K31))</f>
        <v>-1.4998414208690136</v>
      </c>
      <c r="AR31" s="1131">
        <f>IF(ISNUMBER((Datos!P31-Datos!Q31+O31)/(Datos!R31-Datos!P31+Datos!Q31-O31)),(Datos!P31-Datos!Q31+O31)/(Datos!R31-Datos!P31+Datos!Q31-O31)," - ")</f>
        <v>5.2307038060812249E-3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1550.6259381295026</v>
      </c>
      <c r="G33" s="674">
        <f>IF(ISNUMBER(STDEV(G8:G30)),STDEV(G8:G30),"-")</f>
        <v>1442.7388141012516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1068.7038619020914</v>
      </c>
      <c r="AK33" s="276"/>
      <c r="AL33" s="276">
        <f>IF(ISNUMBER(STDEV(AL8:AL30)),STDEV(AL8:AL30),"-")</f>
        <v>0</v>
      </c>
      <c r="AM33" s="278">
        <f>IF(ISNUMBER(STDEV(AM8:AM30)),STDEV(AM8:AM30),"-")</f>
        <v>0</v>
      </c>
      <c r="AN33" s="660">
        <f>IF(ISNUMBER(STDEV(AN8:AN30)),STDEV(AN8:AN30),"-")</f>
        <v>0</v>
      </c>
      <c r="AO33" s="661">
        <f>IF(ISNUMBER(STDEV(AO8:AO30)),STDEV(AO8:AO30),"-")</f>
        <v>1.97521263651361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cSg2FN9PZitINAh4OROqjpLouQtGxer4ubgzaDSwE3TpFEnrj7IlbRjIzITTc31C44/66wAFsg3QLL8ndSOdw==" saltValue="ndVp76BQZz2+4WenG7Yw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sKEb1l8i3+MbyLFYXe6RotoUqv23JErblB74m58uToOL/l20M81TYC0Yc8rs88OfxSX5FM4R2JGztb8O3r1jA==" saltValue="o9ev7V38POzwWrK0bYhx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W1ZyHfuEniyWZfcA6EX4//oNvpF1lLSXaqw1XPjmJZhLe5TO8Ld0N2ZUg8cu3yJGtvaT2TCyFtYzc7IHqscQ==" saltValue="Om7W2nhTVfuPkfXWm7QK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VALLADOLID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0.41424287856071962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0.29291394848852037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apKjyokgu2PFeCSxpTWr0alxh9N3Ln9sSYdZjU6QlyuKEz2jA5FyZNw6xn6UZ7eyHRJw11Rf/qMq5Zv41c6bA==" saltValue="qn1USfTErp8IdkFs5325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Xm+c2DWEbbkAJlabAFzpZf5tJXeHqGPMPp9Bl19rt5gSMCk6ZLwxeaVYxUBollfRETAfmjnYU5aMXM20NmMFw==" saltValue="IK8F9r+reK9BFUJi+PIy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VALLADOLID</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10420</v>
      </c>
      <c r="D9" s="452">
        <f>IF(ISNUMBER(C9/Datos!BH9),C9/Datos!BH9," - ")</f>
        <v>868.33333333333337</v>
      </c>
      <c r="E9" s="451">
        <f>IF(ISNUMBER(IF(J_V="SI",Datos!J9,Datos!J9+Datos!Z9)),IF(J_V="SI",Datos!J9,Datos!J9+Datos!Z9)," - ")</f>
        <v>5427</v>
      </c>
      <c r="F9" s="452">
        <f>IF(ISNUMBER(E9/B9),E9/B9," - ")</f>
        <v>452.25</v>
      </c>
      <c r="G9" s="451">
        <f>IF(ISNUMBER(IF(J_V="SI",Datos!K9,Datos!K9+Datos!AA9)),IF(J_V="SI",Datos!K9,Datos!K9+Datos!AA9)," - ")</f>
        <v>5594</v>
      </c>
      <c r="H9" s="452">
        <f>IF(ISNUMBER(G9/B9),G9/B9," - ")</f>
        <v>466.16666666666669</v>
      </c>
      <c r="I9" s="451">
        <f>IF(ISNUMBER(IF(J_V="SI",Datos!L9,Datos!L9+Datos!AB9)),IF(J_V="SI",Datos!L9,Datos!L9+Datos!AB9)," - ")</f>
        <v>10246</v>
      </c>
      <c r="J9" s="452">
        <f>IF(ISNUMBER(I9/B9),I9/B9," - ")</f>
        <v>853.83333333333337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101</v>
      </c>
      <c r="D10" s="452">
        <f>IF(ISNUMBER(C10/Datos!BH10),C10/Datos!BH10," - ")</f>
        <v>101</v>
      </c>
      <c r="E10" s="451">
        <f>IF(ISNUMBER(Datos!J10),Datos!J10," - ")</f>
        <v>58</v>
      </c>
      <c r="F10" s="452">
        <f>IF(ISNUMBER(E10/B10),E10/B10," - ")</f>
        <v>58</v>
      </c>
      <c r="G10" s="451">
        <f>IF(ISNUMBER(Datos!K10),Datos!K10," - ")</f>
        <v>56</v>
      </c>
      <c r="H10" s="452">
        <f>IF(ISNUMBER(G10/B10),G10/B10," - ")</f>
        <v>56</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1276</v>
      </c>
      <c r="D11" s="452">
        <f>IF(ISNUMBER(C11/Datos!BH11),C11/Datos!BH11," - ")</f>
        <v>425.33333333333331</v>
      </c>
      <c r="E11" s="451">
        <f>IF(ISNUMBER(IF(J_V="SI",Datos!J11,Datos!J11+Datos!Z11)),IF(J_V="SI",Datos!J11,Datos!J11+Datos!Z11)," - ")</f>
        <v>931</v>
      </c>
      <c r="F11" s="452">
        <f>IF(ISNUMBER(E11/B11),E11/B11," - ")</f>
        <v>310.33333333333331</v>
      </c>
      <c r="G11" s="451">
        <f>IF(ISNUMBER(IF(J_V="SI",Datos!K11,Datos!K11+Datos!AA11)),IF(J_V="SI",Datos!K11,Datos!K11+Datos!AA11)," - ")</f>
        <v>1020</v>
      </c>
      <c r="H11" s="452">
        <f>IF(ISNUMBER(G11/B11),G11/B11," - ")</f>
        <v>340</v>
      </c>
      <c r="I11" s="451">
        <f>IF(ISNUMBER(IF(J_V="SI",Datos!L11,Datos!L11+Datos!AB11)),IF(J_V="SI",Datos!L11,Datos!L11+Datos!AB11)," - ")</f>
        <v>1187</v>
      </c>
      <c r="J11" s="452">
        <f>IF(ISNUMBER(I11/B11),I11/B11," - ")</f>
        <v>395.66666666666669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11797</v>
      </c>
      <c r="D14" s="1147" t="str">
        <f>IF(ISNUMBER(C14/Datos!BI14),C14/Datos!BI14," - ")</f>
        <v xml:space="preserve"> - </v>
      </c>
      <c r="E14" s="1146">
        <f>SUBTOTAL(9,E8:E13)</f>
        <v>6416</v>
      </c>
      <c r="F14" s="1147">
        <f>IF(ISNUMBER(E14/B14),E14/B14," - ")</f>
        <v>401</v>
      </c>
      <c r="G14" s="1146">
        <f>SUBTOTAL(9,G8:G13)</f>
        <v>6670</v>
      </c>
      <c r="H14" s="1147">
        <f>IF(ISNUMBER(G14/B14),G14/B14," - ")</f>
        <v>416.875</v>
      </c>
      <c r="I14" s="1146">
        <f>SUBTOTAL(9,I8:I13)</f>
        <v>11536</v>
      </c>
      <c r="J14" s="1147">
        <f>IF(ISNUMBER(I14/B14),I14/B14," - ")</f>
        <v>721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2950</v>
      </c>
      <c r="D16" s="452">
        <f>IF(ISNUMBER(C16/Datos!BH16),C16/Datos!BH16," - ")</f>
        <v>491.66666666666669</v>
      </c>
      <c r="E16" s="451">
        <f>IF(ISNUMBER(IF(D_I="SI",Datos!J16,Datos!J16+Datos!AD16)),IF(D_I="SI",Datos!J16,Datos!J16+Datos!AD16)," - ")</f>
        <v>3963</v>
      </c>
      <c r="F16" s="452">
        <f>IF(ISNUMBER(E16/B16),E16/B16," - ")</f>
        <v>660.5</v>
      </c>
      <c r="G16" s="451">
        <f>IF(ISNUMBER(IF(D_I="SI",Datos!K16,Datos!K16+Datos!AE16)),IF(D_I="SI",Datos!K16,Datos!K16+Datos!AE16)," - ")</f>
        <v>4254</v>
      </c>
      <c r="H16" s="452">
        <f>IF(ISNUMBER(G16/B16),G16/B16," - ")</f>
        <v>709</v>
      </c>
      <c r="I16" s="451">
        <f>IF(ISNUMBER(IF(D_I="SI",Datos!L16,Datos!L16+Datos!AF16)),IF(D_I="SI",Datos!L16,Datos!L16+Datos!AF16)," - ")</f>
        <v>2761</v>
      </c>
      <c r="J16" s="452">
        <f>IF(ISNUMBER(I16/B16),I16/B16," - ")</f>
        <v>460.16666666666669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146</v>
      </c>
      <c r="D18" s="452">
        <f>IF(ISNUMBER(C18/Datos!BH18),C18/Datos!BH18," - ")</f>
        <v>146</v>
      </c>
      <c r="E18" s="451">
        <f>IF(ISNUMBER(IF(D_I="SI",Datos!J18,Datos!J18+Datos!AD18)),IF(D_I="SI",Datos!J18,Datos!J18+Datos!AD18)," - ")</f>
        <v>383</v>
      </c>
      <c r="F18" s="452">
        <f>IF(ISNUMBER(E18/B18),E18/B18," - ")</f>
        <v>383</v>
      </c>
      <c r="G18" s="451">
        <f>IF(ISNUMBER(IF(D_I="SI",Datos!K18,Datos!K18+Datos!AE18)),IF(D_I="SI",Datos!K18,Datos!K18+Datos!AE18)," - ")</f>
        <v>419</v>
      </c>
      <c r="H18" s="452">
        <f>IF(ISNUMBER(G18/B18),G18/B18," - ")</f>
        <v>419</v>
      </c>
      <c r="I18" s="451">
        <f>IF(ISNUMBER(IF(D_I="SI",Datos!L18,Datos!L18+Datos!AF18)),IF(D_I="SI",Datos!L18,Datos!L18+Datos!AF18)," - ")</f>
        <v>110</v>
      </c>
      <c r="J18" s="452">
        <f>IF(ISNUMBER(I18/B18),I18/B18," - ")</f>
        <v>110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3096</v>
      </c>
      <c r="D23" s="1147" t="str">
        <f>IF(ISNUMBER(C23/Datos!BI23),C23/Datos!BI23," - ")</f>
        <v xml:space="preserve"> - </v>
      </c>
      <c r="E23" s="1146">
        <f>SUBTOTAL(9,E15:E22)</f>
        <v>4346</v>
      </c>
      <c r="F23" s="1147">
        <f>IF(ISNUMBER(E23/B23),E23/B23," - ")</f>
        <v>620.85714285714289</v>
      </c>
      <c r="G23" s="1146">
        <f>SUBTOTAL(9,G15:G22)</f>
        <v>4673</v>
      </c>
      <c r="H23" s="1147">
        <f>IF(ISNUMBER(G23/B23),G23/B23," - ")</f>
        <v>667.57142857142856</v>
      </c>
      <c r="I23" s="1146">
        <f>SUBTOTAL(9,I15:I22)</f>
        <v>2871</v>
      </c>
      <c r="J23" s="1147">
        <f>IF(ISNUMBER(I23/B23),I23/B23," - ")</f>
        <v>410.14285714285717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22</v>
      </c>
      <c r="C31" s="1084">
        <f>SUBTOTAL(9,C9:C30)</f>
        <v>14893</v>
      </c>
      <c r="D31" s="1085" t="str">
        <f>IF(ISNUMBER(C31/Datos!BI31),C31/Datos!BI31," - ")</f>
        <v xml:space="preserve"> - </v>
      </c>
      <c r="E31" s="1084">
        <f>SUBTOTAL(9,E9:E30)</f>
        <v>10762</v>
      </c>
      <c r="F31" s="1085">
        <f>IF(ISNUMBER(E31/B31),E31/B31," - ")</f>
        <v>489.18181818181819</v>
      </c>
      <c r="G31" s="1084">
        <f>SUBTOTAL(9,G9:G30)</f>
        <v>11343</v>
      </c>
      <c r="H31" s="1085">
        <f>IF(ISNUMBER(G31/B31),G31/B31," - ")</f>
        <v>515.59090909090912</v>
      </c>
      <c r="I31" s="1084">
        <f>SUBTOTAL(9,I9:I30)</f>
        <v>14407</v>
      </c>
      <c r="J31" s="1085">
        <f>IF(ISNUMBER(I31/B31),I31/B31," - ")</f>
        <v>654.86363636363637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WBSzcHPFDcywMq5l6hBhBM44ZGv1rrrr5yEIg0fUij7nl0UokQUv/F8yk8UvXgpdlAGe/BCLAuc9S7j3feuMw==" saltValue="Vn/zGr/1n5nK8/Pq7YyA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VALLADOLID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101</v>
      </c>
      <c r="G10" s="906">
        <f>IF(ISNUMBER(Datos!I10),Datos!I10," - ")</f>
        <v>101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56</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5.5178571428571432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101</v>
      </c>
      <c r="G14" s="1256">
        <f t="shared" si="0"/>
        <v>101</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56</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20</v>
      </c>
      <c r="AM14" s="1257">
        <f t="shared" si="1"/>
        <v>27</v>
      </c>
      <c r="AN14" s="1257">
        <f t="shared" si="1"/>
        <v>0</v>
      </c>
      <c r="AO14" s="1257">
        <f t="shared" si="1"/>
        <v>0</v>
      </c>
      <c r="AP14" s="1262">
        <f>IF(ISNUMBER(((Datos!L14/Datos!K14)*11)/factor_trimestre),((Datos!L14/Datos!K14)*11)/factor_trimestre," - ")</f>
        <v>5.5062672961093932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-0.5544554455445545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1.8431414508880806</v>
      </c>
      <c r="AQ23" s="1262">
        <f>IF(ISNUMBER(((Datos!M23/Datos!L23)*11)/factor_trimestre),((Datos!M23/Datos!L23)*11)/factor_trimestre," - ")</f>
        <v>0.86624869383490077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1.8156424581005588E-2</v>
      </c>
      <c r="AW23" s="1265">
        <f>IF(ISNUMBER((Datos!Q23-Datos!R23)/(Datos!S23-Datos!Q23+Datos!R23)),(Datos!Q23-Datos!R23)/(Datos!S23-Datos!Q23+Datos!R23)," - ")</f>
        <v>-9.7652081109925293E-2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101</v>
      </c>
      <c r="G31" s="1278">
        <f t="shared" si="8"/>
        <v>101</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56</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20</v>
      </c>
      <c r="AM31" s="1278">
        <f t="shared" si="9"/>
        <v>27</v>
      </c>
      <c r="AN31" s="1278">
        <f t="shared" si="9"/>
        <v>0</v>
      </c>
      <c r="AO31" s="1278">
        <f t="shared" si="9"/>
        <v>0</v>
      </c>
      <c r="AP31" s="1278">
        <f>IF(ISNUMBER(((Datos!L31/Datos!K31)*11)/factor_trimestre),((Datos!L31/Datos!K31)*11)/factor_trimestre," - ")</f>
        <v>3.923631656804734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-0.5544554455445545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5.2307038060812249E-3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55.319978308021781</v>
      </c>
      <c r="G33" s="1007">
        <f>IF(ISNUMBER(STDEV(G8:G30)),STDEV(G8:G30),"-")</f>
        <v>55.319978308021781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30.672463220289302</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2.1182603199827175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fg8UmvArjPdzmGJxH0KBTyflx1b2QKLI86JF60GqNqFEI2k6yU9akWSI93DuZMRsAqMD1pE9d08ppqnlKWODQ==" saltValue="g4NSY7+4qdxr0Y0nOXpn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VALLADOLID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LhpGlcmiRGR4sUZOn3LMLMAeYQ4hoDb+Yx7broZ8CsC+GvC+nwXAPhxA8pv9byn8YWMlIAnAEFOZg2hXXoRMQ==" saltValue="xsmGQ7cIMDZn/iaAczlt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VALLADOLID</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2403</v>
      </c>
      <c r="E9" s="452">
        <f t="shared" ref="E9:E14" si="0">IF(ISNUMBER(D9/B9),D9/B9," - ")</f>
        <v>200.25</v>
      </c>
      <c r="F9" s="451">
        <f>IF(ISNUMBER(Datos!N9),Datos!N9," - ")</f>
        <v>1501</v>
      </c>
      <c r="G9" s="452">
        <f t="shared" ref="G9:G14" si="1">IF(ISNUMBER(F9/B9),F9/B9," - ")</f>
        <v>125.08333333333333</v>
      </c>
      <c r="H9" s="451">
        <f>IF(ISNUMBER(Datos!O9),Datos!O9," - ")</f>
        <v>2400</v>
      </c>
      <c r="I9" s="452">
        <f>IF(ISNUMBER(H9/B9),H9/B9," - ")</f>
        <v>200</v>
      </c>
    </row>
    <row r="10" spans="1:9">
      <c r="A10" s="450" t="str">
        <f>Datos!A10</f>
        <v>Jdos. Violencia contra la mujer</v>
      </c>
      <c r="B10" s="480">
        <f>Datos!AO10</f>
        <v>1</v>
      </c>
      <c r="C10" s="458">
        <f>Datos!AQ10</f>
        <v>1</v>
      </c>
      <c r="D10" s="451">
        <f>IF(ISNUMBER(Datos!M10),Datos!M10," - ")</f>
        <v>20</v>
      </c>
      <c r="E10" s="452">
        <f>IF(ISNUMBER(D10/B10),D10/B10," - ")</f>
        <v>20</v>
      </c>
      <c r="F10" s="451">
        <f>IF(ISNUMBER(Datos!N10),Datos!N10," - ")</f>
        <v>27</v>
      </c>
      <c r="G10" s="452">
        <f>IF(ISNUMBER(F10/B10),F10/B10," - ")</f>
        <v>27</v>
      </c>
      <c r="H10" s="451">
        <f>IF(ISNUMBER(Datos!O10),Datos!O10," - ")</f>
        <v>16</v>
      </c>
      <c r="I10" s="452">
        <f t="shared" ref="I10:I13" si="2">IF(ISNUMBER(H10/B10),H10/B10," - ")</f>
        <v>16</v>
      </c>
    </row>
    <row r="11" spans="1:9">
      <c r="A11" s="450" t="str">
        <f>Datos!A11</f>
        <v xml:space="preserve">Jdos. Familia                                   </v>
      </c>
      <c r="B11" s="480">
        <f>Datos!AO11</f>
        <v>3</v>
      </c>
      <c r="C11" s="458">
        <f>Datos!AQ11</f>
        <v>3</v>
      </c>
      <c r="D11" s="451">
        <f>IF(ISNUMBER(Datos!M11),Datos!M11," - ")</f>
        <v>340</v>
      </c>
      <c r="E11" s="452">
        <f t="shared" si="0"/>
        <v>113.33333333333333</v>
      </c>
      <c r="F11" s="451">
        <f>IF(ISNUMBER(Datos!N11),Datos!N11," - ")</f>
        <v>545</v>
      </c>
      <c r="G11" s="452">
        <f t="shared" si="1"/>
        <v>181.66666666666666</v>
      </c>
      <c r="H11" s="451">
        <f>IF(ISNUMBER(Datos!O11),Datos!O11," - ")</f>
        <v>232</v>
      </c>
      <c r="I11" s="452">
        <f t="shared" si="2"/>
        <v>77.333333333333329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2763</v>
      </c>
      <c r="E14" s="1147">
        <f t="shared" si="0"/>
        <v>172.6875</v>
      </c>
      <c r="F14" s="1146">
        <f>SUBTOTAL(9,F9:F13)</f>
        <v>2073</v>
      </c>
      <c r="G14" s="1147">
        <f t="shared" si="1"/>
        <v>129.5625</v>
      </c>
      <c r="H14" s="1146">
        <f>SUBTOTAL(9,H9:H13)</f>
        <v>2648</v>
      </c>
      <c r="I14" s="1147">
        <f>IF(ISNUMBER(H14/B14),H14/B14," - ")</f>
        <v>165.5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812</v>
      </c>
      <c r="E16" s="452">
        <f t="shared" ref="E16:E23" si="3">IF(ISNUMBER(D16/B16),D16/B16," - ")</f>
        <v>135.33333333333334</v>
      </c>
      <c r="F16" s="451">
        <f>IF(ISNUMBER(Datos!N16),Datos!N16," - ")</f>
        <v>2304</v>
      </c>
      <c r="G16" s="452">
        <f t="shared" ref="G16:G23" si="4">IF(ISNUMBER(F16/B16),F16/B16," - ")</f>
        <v>384</v>
      </c>
      <c r="H16" s="451">
        <f>IF(ISNUMBER(Datos!O16),Datos!O16," - ")</f>
        <v>319</v>
      </c>
      <c r="I16" s="452">
        <f t="shared" ref="I16:I22" si="5">IF(ISNUMBER(H16/B16),H16/B16," - ")</f>
        <v>53.166666666666664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266</v>
      </c>
      <c r="G18" s="452">
        <f>IF(ISNUMBER(F18/B18),F18/B18," - ")</f>
        <v>266</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829</v>
      </c>
      <c r="E23" s="1147">
        <f t="shared" si="3"/>
        <v>118.42857142857143</v>
      </c>
      <c r="F23" s="1146">
        <f>SUBTOTAL(9,F16:F22)</f>
        <v>2570</v>
      </c>
      <c r="G23" s="1147">
        <f t="shared" si="4"/>
        <v>367.14285714285717</v>
      </c>
      <c r="H23" s="1146">
        <f>SUBTOTAL(9,H16:H22)</f>
        <v>326</v>
      </c>
      <c r="I23" s="1147">
        <f>IF(ISNUMBER(H23/B23),H23/B23," - ")</f>
        <v>46.571428571428569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22</v>
      </c>
      <c r="C31" s="1084">
        <f>Datos!AR31</f>
        <v>22</v>
      </c>
      <c r="D31" s="1084">
        <f>SUBTOTAL(9,D8:D30)</f>
        <v>3592</v>
      </c>
      <c r="E31" s="1085">
        <f>IF(ISNUMBER(D31/B31),D31/B31," - ")</f>
        <v>163.27272727272728</v>
      </c>
      <c r="F31" s="1084">
        <f>SUBTOTAL(9,F8:F30)</f>
        <v>4643</v>
      </c>
      <c r="G31" s="1085">
        <f>IF(ISNUMBER(F31/B31),F31/B31," - ")</f>
        <v>211.04545454545453</v>
      </c>
      <c r="H31" s="1084">
        <f>SUBTOTAL(9,H8:H30)</f>
        <v>2974</v>
      </c>
      <c r="I31" s="1085">
        <f>IF(ISNUMBER(H31/B31),H31/B31," - ")</f>
        <v>135.18181818181819</v>
      </c>
    </row>
    <row r="34" spans="1:1">
      <c r="A34" s="439" t="str">
        <f>Criterios!A4</f>
        <v>Fecha Informe: 05 may. 2023</v>
      </c>
    </row>
    <row r="39" spans="1:1">
      <c r="A39" s="462"/>
    </row>
  </sheetData>
  <sheetProtection algorithmName="SHA-512" hashValue="sz0AE5vYRC7SBctNnT0q2ay4JSOHZCfXQwVfA+SYvbSK6WCo0EqwRjV+Zl27Bc8hkGriMwfjvgs5ci1Q5o/mmw==" saltValue="aJ8v7230NZqbTAqko8C+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VALLADOLID</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1332</v>
      </c>
      <c r="C9" s="489">
        <f>IF(ISNUMBER(Datos!Q9),Datos!Q9," - ")</f>
        <v>1194</v>
      </c>
      <c r="D9" s="456">
        <f>IF(ISNUMBER(Datos!R9),Datos!R9," - ")</f>
        <v>21813</v>
      </c>
    </row>
    <row r="10" spans="1:4">
      <c r="A10" s="450" t="str">
        <f>Datos!A10</f>
        <v>Jdos. Violencia contra la mujer</v>
      </c>
      <c r="B10" s="488">
        <f>IF(ISNUMBER(Datos!P10),Datos!P10," - ")</f>
        <v>15</v>
      </c>
      <c r="C10" s="489">
        <f>IF(ISNUMBER(Datos!Q10),Datos!Q10," - ")</f>
        <v>10</v>
      </c>
      <c r="D10" s="456">
        <f>IF(ISNUMBER(Datos!R10),Datos!R10," - ")</f>
        <v>146</v>
      </c>
    </row>
    <row r="11" spans="1:4">
      <c r="A11" s="450" t="str">
        <f>Datos!A11</f>
        <v xml:space="preserve">Jdos. Familia                                   </v>
      </c>
      <c r="B11" s="488">
        <f>IF(ISNUMBER(Datos!P11),Datos!P11," - ")</f>
        <v>89</v>
      </c>
      <c r="C11" s="489">
        <f>IF(ISNUMBER(Datos!Q11),Datos!Q11," - ")</f>
        <v>122</v>
      </c>
      <c r="D11" s="456">
        <f>IF(ISNUMBER(Datos!R11),Datos!R11," - ")</f>
        <v>950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1436</v>
      </c>
      <c r="C14" s="1150">
        <f>SUBTOTAL(9,C9:C13)</f>
        <v>1326</v>
      </c>
      <c r="D14" s="1148">
        <f>SUBTOTAL(9,D9:D13)</f>
        <v>22909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370</v>
      </c>
      <c r="C16" s="489">
        <f>IF(ISNUMBER(Datos!Q16),Datos!Q16," - ")</f>
        <v>356</v>
      </c>
      <c r="D16" s="456">
        <f>IF(ISNUMBER(Datos!R16),Datos!R16," - ")</f>
        <v>723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7</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376</v>
      </c>
      <c r="C23" s="1150">
        <f>SUBTOTAL(9,C16:C22)</f>
        <v>363</v>
      </c>
      <c r="D23" s="1148">
        <f>SUBTOTAL(9,D16:D22)</f>
        <v>729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1812</v>
      </c>
      <c r="C31" s="1089">
        <f>SUBTOTAL(9,C8:C30)</f>
        <v>1689</v>
      </c>
      <c r="D31" s="1090">
        <f>SUBTOTAL(9,D8:D30)</f>
        <v>23638</v>
      </c>
    </row>
    <row r="32" spans="1:4" ht="7.5" customHeight="1"/>
    <row r="33" spans="1:1" ht="6" customHeight="1"/>
    <row r="34" spans="1:1">
      <c r="A34" s="439" t="str">
        <f>Criterios!A4</f>
        <v>Fecha Informe: 05 may. 2023</v>
      </c>
    </row>
    <row r="39" spans="1:1">
      <c r="A39" s="462"/>
    </row>
  </sheetData>
  <sheetProtection algorithmName="SHA-512" hashValue="PT3MghFovqptjvPdde3oLxLsJVpKouVbYefbGYBuKLYQLHmJ21/Ikni4ueRrVCiGpmypNKVPTQdvxNYpcaTZtw==" saltValue="6ebkUo5lTJWGdleagL5U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VALLADOLID</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0.11790580409827271</v>
      </c>
      <c r="C9" s="515">
        <f>IF(ISNUMBER(
   IF(J_V="SI",(Datos!J9-Datos!T9)/Datos!T9,(Datos!J9+Datos!Z9-(Datos!T9+Datos!AH9))/(Datos!T9+Datos!AH9))
     ),IF(J_V="SI",(Datos!J9-Datos!T9)/Datos!T9,(Datos!J9+Datos!Z9-(Datos!T9+Datos!AH9))/(Datos!T9+Datos!AH9))," - ")</f>
        <v>-0.11468189233278955</v>
      </c>
      <c r="D9" s="515">
        <f>IF(ISNUMBER(
   IF(J_V="SI",(Datos!K9-Datos!U9)/Datos!U9,(Datos!K9+Datos!AA9-(Datos!U9+Datos!AI9))/(Datos!U9+Datos!AI9))
     ),IF(J_V="SI",(Datos!K9-Datos!U9)/Datos!U9,(Datos!K9+Datos!AA9-(Datos!U9+Datos!AI9))/(Datos!U9+Datos!AI9))," - ")</f>
        <v>-1.7907303370786515E-2</v>
      </c>
      <c r="E9" s="515">
        <f>IF(ISNUMBER(
   IF(J_V="SI",(Datos!L9-Datos!V9)/Datos!V9,(Datos!L9+Datos!AB9-(Datos!V9+Datos!AJ9))/(Datos!V9+Datos!AJ9))
     ),IF(J_V="SI",(Datos!L9-Datos!V9)/Datos!V9,(Datos!L9+Datos!AB9-(Datos!V9+Datos!AJ9))/(Datos!V9+Datos!AJ9))," - ")</f>
        <v>5.0333162480779091E-2</v>
      </c>
      <c r="F9" s="515">
        <f>IF(ISNUMBER((Datos!M9-Datos!W9)/Datos!W9),(Datos!M9-Datos!W9)/Datos!W9," - ")</f>
        <v>0.20875251509054327</v>
      </c>
      <c r="G9" s="516">
        <f>IF(ISNUMBER((Datos!N9-Datos!X9)/Datos!X9),(Datos!N9-Datos!X9)/Datos!X9," - ")</f>
        <v>-0.18820984315846404</v>
      </c>
      <c r="H9" s="514">
        <f>IF(ISNUMBER(((NºAsuntos!G9/NºAsuntos!E9)-Datos!BD9)/Datos!BD9),((NºAsuntos!G9/NºAsuntos!E9)-Datos!BD9)/Datos!BD9," - ")</f>
        <v>0.10931052705676775</v>
      </c>
      <c r="I9" s="515">
        <f>IF(ISNUMBER(((NºAsuntos!I9/NºAsuntos!G9)-Datos!BE9)/Datos!BE9),((NºAsuntos!I9/NºAsuntos!G9)-Datos!BE9)/Datos!BE9," - ")</f>
        <v>6.9484750355830932E-2</v>
      </c>
      <c r="J9" s="521">
        <f>IF(ISNUMBER((('Resol  Asuntos'!D9/NºAsuntos!G9)-Datos!BF9)/Datos!BF9),(('Resol  Asuntos'!D9/NºAsuntos!G9)-Datos!BF9)/Datos!BF9," - ")</f>
        <v>0.3233184825045301</v>
      </c>
      <c r="K9" s="522">
        <f>IF(ISNUMBER((((NºAsuntos!C9+NºAsuntos!E9)/NºAsuntos!G9)-Datos!BG9)/Datos!BG9),(((NºAsuntos!C9+NºAsuntos!E9)/NºAsuntos!G9)-Datos!BG9)/Datos!BG9," - ")</f>
        <v>4.4330553134088103E-2</v>
      </c>
    </row>
    <row r="10" spans="1:11">
      <c r="A10" s="450" t="str">
        <f>Datos!A10</f>
        <v>Jdos. Violencia contra la mujer</v>
      </c>
      <c r="B10" s="514">
        <f>IF(ISNUMBER((Datos!I10-Datos!S10)/Datos!S10),(Datos!I10-Datos!S10)/Datos!S10," - ")</f>
        <v>2.0202020202020204E-2</v>
      </c>
      <c r="C10" s="515">
        <f>IF(ISNUMBER((Datos!J10-Datos!T10)/Datos!T10),(Datos!J10-Datos!T10)/Datos!T10," - ")</f>
        <v>-0.1076923076923077</v>
      </c>
      <c r="D10" s="515">
        <f>IF(ISNUMBER((Datos!K10-Datos!U10)/Datos!U10),(Datos!K10-Datos!U10)/Datos!U10," - ")</f>
        <v>-1.7543859649122806E-2</v>
      </c>
      <c r="E10" s="515">
        <f>IF(ISNUMBER((Datos!L10-Datos!V10)/Datos!V10),(Datos!L10-Datos!V10)/Datos!V10," - ")</f>
        <v>-3.7383177570093455E-2</v>
      </c>
      <c r="F10" s="515">
        <f>IF(ISNUMBER((Datos!M10-Datos!W10)/Datos!W10),(Datos!M10-Datos!W10)/Datos!W10," - ")</f>
        <v>0.66666666666666663</v>
      </c>
      <c r="G10" s="516">
        <f>IF(ISNUMBER((Datos!N10-Datos!X10)/Datos!X10),(Datos!N10-Datos!X10)/Datos!X10," - ")</f>
        <v>-0.28947368421052633</v>
      </c>
      <c r="H10" s="514">
        <f>IF(ISNUMBER(((NºAsuntos!G10/NºAsuntos!E10)-Datos!BD10)/Datos!BD10),((NºAsuntos!G10/NºAsuntos!E10)-Datos!BD10)/Datos!BD10," - ")</f>
        <v>0.10102843315184519</v>
      </c>
      <c r="I10" s="515">
        <f>IF(ISNUMBER(((NºAsuntos!I10/NºAsuntos!G10)-Datos!BE10)/Datos!BE10),((NºAsuntos!I10/NºAsuntos!G10)-Datos!BE10)/Datos!BE10," - ")</f>
        <v>-2.0193591455273781E-2</v>
      </c>
      <c r="J10" s="521">
        <f>IF(ISNUMBER((('Resol  Asuntos'!D10/NºAsuntos!G10)-Datos!BF10)/Datos!BF10),(('Resol  Asuntos'!D10/NºAsuntos!G10)-Datos!BF10)/Datos!BF10," - ")</f>
        <v>0.69642857142857151</v>
      </c>
      <c r="K10" s="522">
        <f>IF(ISNUMBER((((NºAsuntos!C10+NºAsuntos!E10)/NºAsuntos!G10)-Datos!BG10)/Datos!BG10),(((NºAsuntos!C10+NºAsuntos!E10)/NºAsuntos!G10)-Datos!BG10)/Datos!BG10," - ")</f>
        <v>-1.3175087108013914E-2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-0.18984126984126984</v>
      </c>
      <c r="C11" s="515">
        <f>IF(ISNUMBER(
   IF(J_V="SI",(Datos!J11-Datos!T11)/Datos!T11,(Datos!J11+Datos!Z11-(Datos!T11+Datos!AH11))/(Datos!T11+Datos!AH11))
     ),IF(J_V="SI",(Datos!J11-Datos!T11)/Datos!T11,(Datos!J11+Datos!Z11-(Datos!T11+Datos!AH11))/(Datos!T11+Datos!AH11))," - ")</f>
        <v>-0.11079274116523401</v>
      </c>
      <c r="D11" s="515">
        <f>IF(ISNUMBER(
   IF(J_V="SI",(Datos!K11-Datos!U11)/Datos!U11,(Datos!K11+Datos!AA11-(Datos!U11+Datos!AI11))/(Datos!U11+Datos!AI11))
     ),IF(J_V="SI",(Datos!K11-Datos!U11)/Datos!U11,(Datos!K11+Datos!AA11-(Datos!U11+Datos!AI11))/(Datos!U11+Datos!AI11))," - ")</f>
        <v>-3.4090909090909088E-2</v>
      </c>
      <c r="E11" s="515">
        <f>IF(ISNUMBER(
   IF(J_V="SI",(Datos!L11-Datos!V11)/Datos!V11,(Datos!L11+Datos!AB11-(Datos!V11+Datos!AJ11))/(Datos!V11+Datos!AJ11))
     ),IF(J_V="SI",(Datos!L11-Datos!V11)/Datos!V11,(Datos!L11+Datos!AB11-(Datos!V11+Datos!AJ11))/(Datos!V11+Datos!AJ11))," - ")</f>
        <v>-0.24201787994891444</v>
      </c>
      <c r="F11" s="515">
        <f>IF(ISNUMBER((Datos!M11-Datos!W11)/Datos!W11),(Datos!M11-Datos!W11)/Datos!W11," - ")</f>
        <v>-2.2988505747126436E-2</v>
      </c>
      <c r="G11" s="516">
        <f>IF(ISNUMBER((Datos!N11-Datos!X11)/Datos!X11),(Datos!N11-Datos!X11)/Datos!X11," - ")</f>
        <v>0.12139917695473251</v>
      </c>
      <c r="H11" s="514">
        <f>IF(ISNUMBER(((NºAsuntos!G11/NºAsuntos!E11)-Datos!BD11)/Datos!BD11),((NºAsuntos!G11/NºAsuntos!E11)-Datos!BD11)/Datos!BD11," - ")</f>
        <v>8.6258666145884122E-2</v>
      </c>
      <c r="I11" s="515">
        <f>IF(ISNUMBER(((NºAsuntos!I11/NºAsuntos!G11)-Datos!BE11)/Datos!BE11),((NºAsuntos!I11/NºAsuntos!G11)-Datos!BE11)/Datos!BE11," - ")</f>
        <v>-0.21526556982946426</v>
      </c>
      <c r="J11" s="521">
        <f>IF(ISNUMBER((('Resol  Asuntos'!D11/NºAsuntos!G11)-Datos!BF11)/Datos!BF11),(('Resol  Asuntos'!D11/NºAsuntos!G11)-Datos!BF11)/Datos!BF11," - ")</f>
        <v>-0.27572016460905352</v>
      </c>
      <c r="K11" s="522">
        <f>IF(ISNUMBER((((NºAsuntos!C11+NºAsuntos!E11)/NºAsuntos!G11)-Datos!BG11)/Datos!BG11),(((NºAsuntos!C11+NºAsuntos!E11)/NºAsuntos!G11)-Datos!BG11)/Datos!BG11," - ")</f>
        <v>-0.12856822362812406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7.2942246475670755E-2</v>
      </c>
      <c r="C14" s="1152">
        <f>IF(ISNUMBER(
   IF(J_V="SI",(Datos!J14-Datos!T14)/Datos!T14,(Datos!J14+Datos!Z14-(Datos!T14+Datos!AH14))/(Datos!T14+Datos!AH14))
     ),IF(J_V="SI",(Datos!J14-Datos!T14)/Datos!T14,(Datos!J14+Datos!Z14-(Datos!T14+Datos!AH14))/(Datos!T14+Datos!AH14))," - ")</f>
        <v>-0.11405689036177852</v>
      </c>
      <c r="D14" s="1152">
        <f>IF(ISNUMBER(
   IF(J_V="SI",(Datos!K14-Datos!U14)/Datos!U14,(Datos!K14+Datos!AA14-(Datos!U14+Datos!AI14))/(Datos!U14+Datos!AI14))
     ),IF(J_V="SI",(Datos!K14-Datos!U14)/Datos!U14,(Datos!K14+Datos!AA14-(Datos!U14+Datos!AI14))/(Datos!U14+Datos!AI14))," - ")</f>
        <v>-2.0414157732412983E-2</v>
      </c>
      <c r="E14" s="1152">
        <f>IF(ISNUMBER(
   IF(J_V="SI",(Datos!L14-Datos!V14)/Datos!V14,(Datos!L14+Datos!AB14-(Datos!V14+Datos!AJ14))/(Datos!V14+Datos!AJ14))
     ),IF(J_V="SI",(Datos!L14-Datos!V14)/Datos!V14,(Datos!L14+Datos!AB14-(Datos!V14+Datos!AJ14))/(Datos!V14+Datos!AJ14))," - ")</f>
        <v>9.450472523626182E-3</v>
      </c>
      <c r="F14" s="1153">
        <f>IF(ISNUMBER((Datos!M14-Datos!W14)/Datos!W14),(Datos!M14-Datos!W14)/Datos!W14," - ")</f>
        <v>0.17674616695059625</v>
      </c>
      <c r="G14" s="1154">
        <f>IF(ISNUMBER((Datos!N14-Datos!X14)/Datos!X14),(Datos!N14-Datos!X14)/Datos!X14," - ")</f>
        <v>-0.12642225031605561</v>
      </c>
      <c r="H14" s="1154">
        <f>IF(ISNUMBER(((NºAsuntos!G14/NºAsuntos!E14)-Datos!BD14)/Datos!BD14),((NºAsuntos!G14/NºAsuntos!E14)-Datos!BD14)/Datos!BD14," - ")</f>
        <v>0.1056983587440562</v>
      </c>
      <c r="I14" s="1154">
        <f>IF(ISNUMBER(((NºAsuntos!I14/NºAsuntos!G14)-Datos!BE14)/Datos!BE14),((NºAsuntos!I14/NºAsuntos!G14)-Datos!BE14)/Datos!BE14," - ")</f>
        <v>3.0486996613698716E-2</v>
      </c>
      <c r="J14" s="1154">
        <f>IF(ISNUMBER((('Resol  Asuntos'!D14/NºAsuntos!G14)-Datos!BF14)/Datos!BF14),(('Resol  Asuntos'!D14/NºAsuntos!G14)-Datos!BF14)/Datos!BF14," - ")</f>
        <v>0.20178089481037073</v>
      </c>
      <c r="K14" s="1154">
        <f>IF(ISNUMBER((((NºAsuntos!C14+NºAsuntos!E14)/NºAsuntos!G14)-Datos!BG14)/Datos!BG14),(((NºAsuntos!C14+NºAsuntos!E14)/NºAsuntos!G14)-Datos!BG14)/Datos!BG14," - ")</f>
        <v>1.9496149276899629E-2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-8.3850931677018639E-2</v>
      </c>
      <c r="C16" s="515">
        <f>IF(ISNUMBER(
   IF(D_I="SI",(Datos!J16-Datos!T16)/Datos!T16,(Datos!J16+Datos!AD16-(Datos!T16+Datos!AL16))/(Datos!T16+Datos!AL16))
     ),IF(D_I="SI",(Datos!J16-Datos!T16)/Datos!T16,(Datos!J16+Datos!AD16-(Datos!T16+Datos!AL16))/(Datos!T16+Datos!AL16))," - ")</f>
        <v>0.14803012746234068</v>
      </c>
      <c r="D16" s="515">
        <f>IF(ISNUMBER(
   IF(D_I="SI",(Datos!K16-Datos!U16)/Datos!U16,(Datos!K16+Datos!AE16-(Datos!U16+Datos!AM16))/(Datos!U16+Datos!AM16))
     ),IF(D_I="SI",(Datos!K16-Datos!U16)/Datos!U16,(Datos!K16+Datos!AE16-(Datos!U16+Datos!AM16))/(Datos!U16+Datos!AM16))," - ")</f>
        <v>5.0370370370370371E-2</v>
      </c>
      <c r="E16" s="515">
        <f>IF(ISNUMBER(
   IF(D_I="SI",(Datos!L16-Datos!V16)/Datos!V16,(Datos!L16+Datos!AF16-(Datos!V16+Datos!AN16))/(Datos!V16+Datos!AN16))
     ),IF(D_I="SI",(Datos!L16-Datos!V16)/Datos!V16,(Datos!L16+Datos!AF16-(Datos!V16+Datos!AN16))/(Datos!V16+Datos!AN16))," - ")</f>
        <v>-1.8076644974692696E-3</v>
      </c>
      <c r="F16" s="515">
        <f>IF(ISNUMBER((Datos!M16-Datos!W16)/Datos!W16),(Datos!M16-Datos!W16)/Datos!W16," - ")</f>
        <v>0.26677067082683309</v>
      </c>
      <c r="G16" s="516">
        <f>IF(ISNUMBER((Datos!N16-Datos!X16)/Datos!X16),(Datos!N16-Datos!X16)/Datos!X16," - ")</f>
        <v>4.3591979075850041E-3</v>
      </c>
      <c r="H16" s="514">
        <f>IF(ISNUMBER(((NºAsuntos!G16/NºAsuntos!E16)-Datos!BD16)/Datos!BD16),((NºAsuntos!G16/NºAsuntos!E16)-Datos!BD16)/Datos!BD16," - ")</f>
        <v>-8.506724236222081E-2</v>
      </c>
      <c r="I16" s="515">
        <f>IF(ISNUMBER(((NºAsuntos!I16/NºAsuntos!G16)-Datos!BE16)/Datos!BE16),((NºAsuntos!I16/NºAsuntos!G16)-Datos!BE16)/Datos!BE16," - ")</f>
        <v>-4.9675844197167557E-2</v>
      </c>
      <c r="J16" s="521">
        <f>IF(ISNUMBER((('Resol  Asuntos'!D16/NºAsuntos!G16)-Datos!BF16)/Datos!BF16),(('Resol  Asuntos'!D16/NºAsuntos!G16)-Datos!BF16)/Datos!BF16," - ")</f>
        <v>0.20602285304388199</v>
      </c>
      <c r="K16" s="522">
        <f>IF(ISNUMBER((((NºAsuntos!C16+NºAsuntos!E16)/NºAsuntos!G16)-Datos!BG16)/Datos!BG16),(((NºAsuntos!C16+NºAsuntos!E16)/NºAsuntos!G16)-Datos!BG16)/Datos!BG16," - ")</f>
        <v>-1.3565945551034487E-2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-9.8765432098765427E-2</v>
      </c>
      <c r="C18" s="515">
        <f>IF(ISNUMBER(
   IF(D_I="SI",(Datos!J18-Datos!T18)/Datos!T18,(Datos!J18+Datos!AD18-(Datos!T18+Datos!AL18))/(Datos!T18+Datos!AL18))
     ),IF(D_I="SI",(Datos!J18-Datos!T18)/Datos!T18,(Datos!J18+Datos!AD18-(Datos!T18+Datos!AL18))/(Datos!T18+Datos!AL18))," - ")</f>
        <v>-4.0100250626566414E-2</v>
      </c>
      <c r="D18" s="515">
        <f>IF(ISNUMBER(
   IF(D_I="SI",(Datos!K18-Datos!U18)/Datos!U18,(Datos!K18+Datos!AE18-(Datos!U18+Datos!AM18))/(Datos!U18+Datos!AM18))
     ),IF(D_I="SI",(Datos!K18-Datos!U18)/Datos!U18,(Datos!K18+Datos!AE18-(Datos!U18+Datos!AM18))/(Datos!U18+Datos!AM18))," - ")</f>
        <v>-3.8990825688073397E-2</v>
      </c>
      <c r="E18" s="515">
        <f>IF(ISNUMBER(
   IF(D_I="SI",(Datos!L18-Datos!V18)/Datos!V18,(Datos!L18+Datos!AF18-(Datos!V18+Datos!AN18))/(Datos!V18+Datos!AN18))
     ),IF(D_I="SI",(Datos!L18-Datos!V18)/Datos!V18,(Datos!L18+Datos!AF18-(Datos!V18+Datos!AN18))/(Datos!V18+Datos!AN18))," - ")</f>
        <v>-0.12</v>
      </c>
      <c r="F18" s="515">
        <f>IF(ISNUMBER((Datos!M18-Datos!W18)/Datos!W18),(Datos!M18-Datos!W18)/Datos!W18," - ")</f>
        <v>0.21428571428571427</v>
      </c>
      <c r="G18" s="516">
        <f>IF(ISNUMBER((Datos!N18-Datos!X18)/Datos!X18),(Datos!N18-Datos!X18)/Datos!X18," - ")</f>
        <v>4.3137254901960784E-2</v>
      </c>
      <c r="H18" s="514">
        <f>IF(ISNUMBER(((NºAsuntos!G18/NºAsuntos!E18)-Datos!BD18)/Datos!BD18),((NºAsuntos!G18/NºAsuntos!E18)-Datos!BD18)/Datos!BD18," - ")</f>
        <v>1.1557716722160466E-3</v>
      </c>
      <c r="I18" s="515">
        <f>IF(ISNUMBER(((NºAsuntos!I18/NºAsuntos!G18)-Datos!BE18)/Datos!BE18),((NºAsuntos!I18/NºAsuntos!G18)-Datos!BE18)/Datos!BE18," - ")</f>
        <v>-8.4295942720763697E-2</v>
      </c>
      <c r="J18" s="521">
        <f>IF(ISNUMBER((('Resol  Asuntos'!D18/NºAsuntos!G18)-Datos!BF18)/Datos!BF18),(('Resol  Asuntos'!D18/NºAsuntos!G18)-Datos!BF18)/Datos!BF18," - ")</f>
        <v>0.26355267644050462</v>
      </c>
      <c r="K18" s="522">
        <f>IF(ISNUMBER((((NºAsuntos!C18+NºAsuntos!E18)/NºAsuntos!G18)-Datos!BG18)/Datos!BG18),(((NºAsuntos!C18+NºAsuntos!E18)/NºAsuntos!G18)-Datos!BG18)/Datos!BG18," - ")</f>
        <v>-1.87825184315428E-2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-8.4565345949142515E-2</v>
      </c>
      <c r="C23" s="1152">
        <f>IF(ISNUMBER(
   IF(Criterios!B14="SI",(Datos!J23-Datos!T23)/Datos!T23,(Datos!J23+Datos!AD23-(Datos!T23+Datos!AL23))/(Datos!T23+Datos!AL23))
     ),IF(Criterios!B14="SI",(Datos!J23-Datos!T23)/Datos!T23,(Datos!J23+Datos!AD23-(Datos!T23+Datos!AL23))/(Datos!T23+Datos!AL23))," - ")</f>
        <v>0.12853804206699559</v>
      </c>
      <c r="D23" s="1152">
        <f>IF(ISNUMBER(
   IF(Criterios!B14="SI",(Datos!K23-Datos!U23)/Datos!U23,(Datos!K23+Datos!AE23-(Datos!U23+Datos!AM23))/(Datos!U23+Datos!AM23))
     ),IF(Criterios!B14="SI",(Datos!K23-Datos!U23)/Datos!U23,(Datos!K23+Datos!AE23-(Datos!U23+Datos!AM23))/(Datos!U23+Datos!AM23))," - ")</f>
        <v>4.1685242978154256E-2</v>
      </c>
      <c r="E23" s="1152">
        <f>IF(ISNUMBER(
   IF(Criterios!B14="SI",(Datos!L23-Datos!V23)/Datos!V23,(Datos!L23+Datos!AF23-(Datos!V23+Datos!AN23))/(Datos!V23+Datos!AN23))
     ),IF(Criterios!B14="SI",(Datos!L23-Datos!V23)/Datos!V23,(Datos!L23+Datos!AF23-(Datos!V23+Datos!AN23))/(Datos!V23+Datos!AN23))," - ")</f>
        <v>-6.9180214458664825E-3</v>
      </c>
      <c r="F23" s="1153">
        <f>IF(ISNUMBER((Datos!M23-Datos!W23)/Datos!W23),(Datos!M23-Datos!W23)/Datos!W23," - ")</f>
        <v>0.26564885496183205</v>
      </c>
      <c r="G23" s="1154">
        <f>IF(ISNUMBER((Datos!N23-Datos!X23)/Datos!X23),(Datos!N23-Datos!X23)/Datos!X23," - ")</f>
        <v>8.2385249117300895E-3</v>
      </c>
      <c r="H23" s="1154">
        <f>IF(ISNUMBER(((NºAsuntos!G23/NºAsuntos!E23)-Datos!BD23)/Datos!BD23),((NºAsuntos!G23/NºAsuntos!E23)-Datos!BD23)/Datos!BD23," - ")</f>
        <v>-7.6960453127272829E-2</v>
      </c>
      <c r="I23" s="1154">
        <f>IF(ISNUMBER(((NºAsuntos!I23/NºAsuntos!G23)-Datos!BE23)/Datos!BE23),((NºAsuntos!I23/NºAsuntos!G23)-Datos!BE23)/Datos!BE23," - ")</f>
        <v>-4.6658301777478484E-2</v>
      </c>
      <c r="J23" s="1154">
        <f>IF(ISNUMBER((('Resol  Asuntos'!D23/NºAsuntos!G23)-Datos!BF23)/Datos!BF23),(('Resol  Asuntos'!D23/NºAsuntos!G23)-Datos!BF23)/Datos!BF23," - ")</f>
        <v>0.21500123333164531</v>
      </c>
      <c r="K23" s="1154">
        <f>IF(ISNUMBER((((NºAsuntos!C23+NºAsuntos!E23)/NºAsuntos!G23)-Datos!BG23)/Datos!BG23),(((NºAsuntos!C23+NºAsuntos!E23)/NºAsuntos!G23)-Datos!BG23)/Datos!BG23," - ")</f>
        <v>-1.2278087133569253E-2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3.5890658690964736E-2</v>
      </c>
      <c r="C31" s="1092">
        <f>IF(ISNUMBER(
   IF(J_V="SI",(Datos!J31-Datos!T31)/Datos!T31,(Datos!J31+Datos!Z31-(Datos!T31+Datos!AH31))/(Datos!T31+Datos!AH31))
     ),IF(J_V="SI",(Datos!J31-Datos!T31)/Datos!T31,(Datos!J31+Datos!Z31-(Datos!T31+Datos!AH31))/(Datos!T31+Datos!AH31))," - ")</f>
        <v>-2.9838636978274588E-2</v>
      </c>
      <c r="D31" s="1092">
        <f>IF(ISNUMBER(
   IF(J_V="SI",(Datos!K31-Datos!U31)/Datos!U31,(Datos!K31+Datos!AA31-(Datos!U31+Datos!AI31))/(Datos!U31+Datos!AI31))
     ),IF(J_V="SI",(Datos!K31-Datos!U31)/Datos!U31,(Datos!K31+Datos!AA31-(Datos!U31+Datos!AI31))/(Datos!U31+Datos!AI31))," - ")</f>
        <v>4.2496679946879149E-3</v>
      </c>
      <c r="E31" s="1092">
        <f>IF(ISNUMBER(
   IF(J_V="SI",(Datos!L31-Datos!V31)/Datos!V31,(Datos!L31+Datos!AB31-(Datos!V31+Datos!AJ31))/(Datos!V31+Datos!AJ31))
     ),IF(J_V="SI",(Datos!L31-Datos!V31)/Datos!V31,(Datos!L31+Datos!AB31-(Datos!V31+Datos!AJ31))/(Datos!V31+Datos!AJ31))," - ")</f>
        <v>6.1456805642852155E-3</v>
      </c>
      <c r="F31" s="1093">
        <f>IF(ISNUMBER((Datos!M31-Datos!W31)/Datos!W31),(Datos!M31-Datos!W31)/Datos!W31," - ")</f>
        <v>0.19613719613719613</v>
      </c>
      <c r="G31" s="1094">
        <f>IF(ISNUMBER((Datos!N31-Datos!X31)/Datos!X31),(Datos!N31-Datos!X31)/Datos!X31," - ")</f>
        <v>-5.6684274685087362E-2</v>
      </c>
      <c r="H31" s="1095">
        <f>IF(ISNUMBER((Tasas!B31-Datos!BD31)/Datos!BD31),(Tasas!B31-Datos!BD31)/Datos!BD31," - ")</f>
        <v>3.513673732253042E-2</v>
      </c>
      <c r="I31" s="1096">
        <f>IF(ISNUMBER((Tasas!C31-Datos!BE31)/Datos!BE31),(Tasas!C31-Datos!BE31)/Datos!BE31," - ")</f>
        <v>1.8879892421406667E-3</v>
      </c>
      <c r="J31" s="1097">
        <f>IF(ISNUMBER((Tasas!D31-Datos!BF31)/Datos!BF31),(Tasas!D31-Datos!BF31)/Datos!BF31," - ")</f>
        <v>0.19147228128439811</v>
      </c>
      <c r="K31" s="1097">
        <f>IF(ISNUMBER((Tasas!E31-Datos!BG31)/Datos!BG31),(Tasas!E31-Datos!BG31)/Datos!BG31," - ")</f>
        <v>3.0010258346471271E-3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mFQyrPX4lkb/3MUafu1NEsx0JF3z8RHuYSsMYEDD3j8x94CFiZ0x2XCTLEBVM9BIAL7DpHKghl0Pz0aqZSgPQ==" saltValue="j2b6zTmXQ5zAtyrBFa0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VALLADOLID</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1.0307720655979362</v>
      </c>
      <c r="C9" s="498">
        <f>IF(ISNUMBER(NºAsuntos!I9/NºAsuntos!G9),NºAsuntos!I9/NºAsuntos!G9," - ")</f>
        <v>1.8316052913836254</v>
      </c>
      <c r="D9" s="499">
        <f>IF(ISNUMBER('Resol  Asuntos'!D9/NºAsuntos!G9),'Resol  Asuntos'!D9/NºAsuntos!G9," - ")</f>
        <v>0.42956739363603863</v>
      </c>
      <c r="E9" s="500">
        <f>IF(ISNUMBER((NºAsuntos!C9+NºAsuntos!E9)/NºAsuntos!G9),(NºAsuntos!C9+NºAsuntos!E9)/NºAsuntos!G9," - ")</f>
        <v>2.8328566321058277</v>
      </c>
      <c r="G9" s="523"/>
    </row>
    <row r="10" spans="1:7">
      <c r="A10" s="450" t="str">
        <f>Datos!A10</f>
        <v>Jdos. Violencia contra la mujer</v>
      </c>
      <c r="B10" s="497">
        <f>IF(ISNUMBER(NºAsuntos!G10/NºAsuntos!E10),NºAsuntos!G10/NºAsuntos!E10," - ")</f>
        <v>0.96551724137931039</v>
      </c>
      <c r="C10" s="498">
        <f>IF(ISNUMBER(NºAsuntos!I10/NºAsuntos!G10),NºAsuntos!I10/NºAsuntos!G10," - ")</f>
        <v>1.8392857142857142</v>
      </c>
      <c r="D10" s="499">
        <f>IF(ISNUMBER('Resol  Asuntos'!D10/NºAsuntos!G10),'Resol  Asuntos'!D10/NºAsuntos!G10," - ")</f>
        <v>0.35714285714285715</v>
      </c>
      <c r="E10" s="500">
        <f>IF(ISNUMBER((NºAsuntos!C10+NºAsuntos!E10)/NºAsuntos!G10),(NºAsuntos!C10+NºAsuntos!E10)/NºAsuntos!G10," - ")</f>
        <v>2.8392857142857144</v>
      </c>
      <c r="G10" s="523"/>
    </row>
    <row r="11" spans="1:7">
      <c r="A11" s="450" t="str">
        <f>Datos!A11</f>
        <v xml:space="preserve">Jdos. Familia                                   </v>
      </c>
      <c r="B11" s="497">
        <f>IF(ISNUMBER(NºAsuntos!G11/NºAsuntos!E11),NºAsuntos!G11/NºAsuntos!E11," - ")</f>
        <v>1.0955961331901181</v>
      </c>
      <c r="C11" s="498">
        <f>IF(ISNUMBER(NºAsuntos!I11/NºAsuntos!G11),NºAsuntos!I11/NºAsuntos!G11," - ")</f>
        <v>1.1637254901960785</v>
      </c>
      <c r="D11" s="499">
        <f>IF(ISNUMBER('Resol  Asuntos'!D11/NºAsuntos!G11),'Resol  Asuntos'!D11/NºAsuntos!G11," - ")</f>
        <v>0.33333333333333331</v>
      </c>
      <c r="E11" s="500">
        <f>IF(ISNUMBER((NºAsuntos!C11+NºAsuntos!E11)/NºAsuntos!G11),(NºAsuntos!C11+NºAsuntos!E11)/NºAsuntos!G11," - ")</f>
        <v>2.1637254901960783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1.0395885286783042</v>
      </c>
      <c r="C14" s="1156">
        <f>IF(ISNUMBER(NºAsuntos!I14/NºAsuntos!G14),NºAsuntos!I14/NºAsuntos!G14," - ")</f>
        <v>1.729535232383808</v>
      </c>
      <c r="D14" s="1157">
        <f>IF(ISNUMBER('Resol  Asuntos'!D14/NºAsuntos!G14),'Resol  Asuntos'!D14/NºAsuntos!G14," - ")</f>
        <v>0.41424287856071962</v>
      </c>
      <c r="E14" s="1158">
        <f>IF(ISNUMBER((NºAsuntos!C14+NºAsuntos!E14)/NºAsuntos!G14),(NºAsuntos!C14+NºAsuntos!E14)/NºAsuntos!G14," - ")</f>
        <v>2.7305847076461771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1.073429220287661</v>
      </c>
      <c r="C16" s="498">
        <f>IF(ISNUMBER(NºAsuntos!I16/NºAsuntos!G16),NºAsuntos!I16/NºAsuntos!G16," - ")</f>
        <v>0.64903620122237893</v>
      </c>
      <c r="D16" s="499">
        <f>IF(ISNUMBER('Resol  Asuntos'!D16/NºAsuntos!G16),'Resol  Asuntos'!D16/NºAsuntos!G16," - ")</f>
        <v>0.19087917254348849</v>
      </c>
      <c r="E16" s="500">
        <f>IF(ISNUMBER((NºAsuntos!C16+NºAsuntos!E16)/NºAsuntos!G16),(NºAsuntos!C16+NºAsuntos!E16)/NºAsuntos!G16," - ")</f>
        <v>1.6250587682181477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1.0939947780678851</v>
      </c>
      <c r="C18" s="498">
        <f>IF(ISNUMBER(NºAsuntos!I18/NºAsuntos!G18),NºAsuntos!I18/NºAsuntos!G18," - ")</f>
        <v>0.26252983293556087</v>
      </c>
      <c r="D18" s="499">
        <f>IF(ISNUMBER('Resol  Asuntos'!D18/NºAsuntos!G18),'Resol  Asuntos'!D18/NºAsuntos!G18," - ")</f>
        <v>4.0572792362768499E-2</v>
      </c>
      <c r="E18" s="500">
        <f>IF(ISNUMBER((NºAsuntos!C18+NºAsuntos!E18)/NºAsuntos!G18),(NºAsuntos!C18+NºAsuntos!E18)/NºAsuntos!G18," - ")</f>
        <v>1.2625298329355608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1.0752416014726185</v>
      </c>
      <c r="C23" s="1156">
        <f>IF(ISNUMBER(NºAsuntos!I23/NºAsuntos!G23),NºAsuntos!I23/NºAsuntos!G23," - ")</f>
        <v>0.61438048362936015</v>
      </c>
      <c r="D23" s="1159">
        <f>IF(ISNUMBER('Resol  Asuntos'!D23/NºAsuntos!G23),'Resol  Asuntos'!D23/NºAsuntos!G23," - ")</f>
        <v>0.17740209715386263</v>
      </c>
      <c r="E23" s="1158">
        <f>IF(ISNUMBER((NºAsuntos!C23+NºAsuntos!E23)/NºAsuntos!G23),(NºAsuntos!C23+NºAsuntos!E23)/NºAsuntos!G23," - ")</f>
        <v>1.5925529638347957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1.0539862479093105</v>
      </c>
      <c r="C31" s="1099">
        <f>IF(ISNUMBER(NºAsuntos!I31/NºAsuntos!G31),NºAsuntos!I31/NºAsuntos!G31," - ")</f>
        <v>1.2701225425372475</v>
      </c>
      <c r="D31" s="1100">
        <f>IF(ISNUMBER('Resol  Asuntos'!D31/NºAsuntos!G31),'Resol  Asuntos'!D31/NºAsuntos!G31," - ")</f>
        <v>0.31667107467160366</v>
      </c>
      <c r="E31" s="1101">
        <f>IF(ISNUMBER((NºAsuntos!C31+NºAsuntos!E31)/NºAsuntos!G31),(NºAsuntos!C31+NºAsuntos!E31)/NºAsuntos!G31," - ")</f>
        <v>2.2617473331570133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KcBOoDyr7aJzFhqIBMDCPKRWFdTgzEg2llIK3UGZqznrr9PmSynje7J9UVM9LxvLvSdCGTO55dmCQwQKFu0Tw==" saltValue="EreUAUncXggISWHkp4Q8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VALLADOLID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1332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1194</v>
      </c>
      <c r="Y9" s="374">
        <f>SUM(W9:X9)</f>
        <v>1194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21813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2403</v>
      </c>
      <c r="AJ9" s="243" t="str">
        <f>IF(ISNUMBER(Datos!BW9),Datos!BW9," - ")</f>
        <v xml:space="preserve"> - </v>
      </c>
      <c r="AK9" s="242" t="str">
        <f>IF(ISNUMBER(Datos!BX9),Datos!BX9," - ")</f>
        <v xml:space="preserve"> - </v>
      </c>
      <c r="AL9" s="266">
        <f>IF(ISNUMBER(NºAsuntos!G9/NºAsuntos!E9),NºAsuntos!G9/NºAsuntos!E9," - ")</f>
        <v>1.0307720655979362</v>
      </c>
      <c r="AM9" s="284">
        <f>IF(ISNUMBER(((NºAsuntos!I9/NºAsuntos!G9)*11)/factor_trimestre),((NºAsuntos!I9/NºAsuntos!G9)*11)/factor_trimestre," - ")</f>
        <v>5.494815874150877</v>
      </c>
      <c r="AN9" s="267">
        <f>IF(ISNUMBER('Resol  Asuntos'!D9/NºAsuntos!G9),'Resol  Asuntos'!D9/NºAsuntos!G9," - ")</f>
        <v>0.42956739363603863</v>
      </c>
      <c r="AO9" s="268">
        <f>IF(ISNUMBER((NºAsuntos!C9+NºAsuntos!E9)/NºAsuntos!G9),(NºAsuntos!C9+NºAsuntos!E9)/NºAsuntos!G9," - ")</f>
        <v>2.8328566321058277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101</v>
      </c>
      <c r="G10" s="373">
        <f>IF(ISNUMBER(Datos!I10),Datos!I10," - ")</f>
        <v>101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56</v>
      </c>
      <c r="X10" s="240">
        <f>IF(ISNUMBER(Datos!Q10),Datos!Q10," - ")</f>
        <v>10</v>
      </c>
      <c r="Y10" s="374">
        <f t="shared" ref="Y10:Y13" si="0">SUM(W10:X10)</f>
        <v>66</v>
      </c>
      <c r="Z10" s="375" t="str">
        <f>IF(ISNUMBER(Datos!CC10),Datos!CC10," - ")</f>
        <v xml:space="preserve"> - </v>
      </c>
      <c r="AA10" s="372">
        <f>IF(ISNUMBER(Datos!L10),Datos!L10,"-")</f>
        <v>103</v>
      </c>
      <c r="AB10" s="374">
        <f>IF(ISNUMBER(Datos!R10),Datos!R10," - ")</f>
        <v>146</v>
      </c>
      <c r="AC10" s="374">
        <f t="shared" ref="AC10:AC13" si="1">IF(ISNUMBER(AA10+AB10),AA10+AB10," - ")</f>
        <v>249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0.96551724137931039</v>
      </c>
      <c r="AM10" s="284">
        <f>IF(ISNUMBER(((NºAsuntos!I10/NºAsuntos!G10)*11)/factor_trimestre),((NºAsuntos!I10/NºAsuntos!G10)*11)/factor_trimestre," - ")</f>
        <v>5.5178571428571432</v>
      </c>
      <c r="AN10" s="267">
        <f>IF(ISNUMBER('Resol  Asuntos'!D10/NºAsuntos!G10),'Resol  Asuntos'!D10/NºAsuntos!G10," - ")</f>
        <v>0.35714285714285715</v>
      </c>
      <c r="AO10" s="268">
        <f>IF(ISNUMBER((NºAsuntos!C10+NºAsuntos!E10)/NºAsuntos!G10),(NºAsuntos!C10+NºAsuntos!E10)/NºAsuntos!G10," - ")</f>
        <v>2.8392857142857144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122</v>
      </c>
      <c r="Y11" s="374">
        <f t="shared" si="0"/>
        <v>122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950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340</v>
      </c>
      <c r="AJ11" s="245" t="str">
        <f>IF(ISNUMBER(Datos!BW11),Datos!BW11," - ")</f>
        <v xml:space="preserve"> - </v>
      </c>
      <c r="AK11" s="246" t="str">
        <f>IF(ISNUMBER(Datos!BX11),Datos!BX11," - ")</f>
        <v xml:space="preserve"> - </v>
      </c>
      <c r="AL11" s="266">
        <f>IF(ISNUMBER(NºAsuntos!G11/NºAsuntos!E11),NºAsuntos!G11/NºAsuntos!E11," - ")</f>
        <v>1.0955961331901181</v>
      </c>
      <c r="AM11" s="284">
        <f>IF(ISNUMBER(((NºAsuntos!I11/NºAsuntos!G11)*11)/factor_trimestre),((NºAsuntos!I11/NºAsuntos!G11)*11)/factor_trimestre," - ")</f>
        <v>3.4911764705882358</v>
      </c>
      <c r="AN11" s="267">
        <f>IF(ISNUMBER('Resol  Asuntos'!D11/NºAsuntos!G11),'Resol  Asuntos'!D11/NºAsuntos!G11," - ")</f>
        <v>0.33333333333333331</v>
      </c>
      <c r="AO11" s="268">
        <f>IF(ISNUMBER((NºAsuntos!C11+NºAsuntos!E11)/NºAsuntos!G11),(NºAsuntos!C11+NºAsuntos!E11)/NºAsuntos!G11," - ")</f>
        <v>2.1637254901960783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101</v>
      </c>
      <c r="G14" s="1163">
        <f t="shared" si="5"/>
        <v>101</v>
      </c>
      <c r="H14" s="1162">
        <f t="shared" si="5"/>
        <v>0</v>
      </c>
      <c r="I14" s="1164">
        <f t="shared" si="5"/>
        <v>0</v>
      </c>
      <c r="J14" s="1164">
        <f t="shared" si="5"/>
        <v>0</v>
      </c>
      <c r="K14" s="1164">
        <f t="shared" si="5"/>
        <v>0</v>
      </c>
      <c r="L14" s="1164">
        <f t="shared" si="5"/>
        <v>1436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56</v>
      </c>
      <c r="X14" s="1164">
        <f t="shared" si="6"/>
        <v>1326</v>
      </c>
      <c r="Y14" s="1165">
        <f t="shared" si="6"/>
        <v>1382</v>
      </c>
      <c r="Z14" s="1165">
        <f t="shared" si="6"/>
        <v>0</v>
      </c>
      <c r="AA14" s="1165">
        <f t="shared" si="6"/>
        <v>103</v>
      </c>
      <c r="AB14" s="1165">
        <f t="shared" si="6"/>
        <v>22909</v>
      </c>
      <c r="AC14" s="1165">
        <f t="shared" si="6"/>
        <v>249</v>
      </c>
      <c r="AD14" s="1165">
        <f t="shared" si="6"/>
        <v>0</v>
      </c>
      <c r="AE14" s="1169">
        <f t="shared" si="6"/>
        <v>0</v>
      </c>
      <c r="AF14" s="1162">
        <f t="shared" si="6"/>
        <v>0</v>
      </c>
      <c r="AG14" s="1170">
        <f t="shared" si="6"/>
        <v>0</v>
      </c>
      <c r="AH14" s="1167">
        <f t="shared" si="6"/>
        <v>0</v>
      </c>
      <c r="AI14" s="1162">
        <f t="shared" si="6"/>
        <v>2763</v>
      </c>
      <c r="AJ14" s="1164">
        <f t="shared" si="6"/>
        <v>0</v>
      </c>
      <c r="AK14" s="1167">
        <f>SUBTOTAL(9,AK9:AK13)</f>
        <v>0</v>
      </c>
      <c r="AL14" s="1171">
        <f>IF(ISNUMBER(NºAsuntos!G14/NºAsuntos!E14),NºAsuntos!G14/NºAsuntos!E14," - ")</f>
        <v>1.0395885286783042</v>
      </c>
      <c r="AM14" s="1171">
        <f>IF(ISNUMBER(((NºAsuntos!I14/NºAsuntos!G14)*11)/factor_trimestre),((NºAsuntos!I14/NºAsuntos!G14)*11)/factor_trimestre," - ")</f>
        <v>5.1886056971514245</v>
      </c>
      <c r="AN14" s="1172">
        <f>IF(ISNUMBER('Resol  Asuntos'!D14/NºAsuntos!G14),'Resol  Asuntos'!D14/NºAsuntos!G14," - ")</f>
        <v>0.41424287856071962</v>
      </c>
      <c r="AO14" s="1173">
        <f>IF(ISNUMBER((NºAsuntos!C14+NºAsuntos!E14)/NºAsuntos!G14),(NºAsuntos!C14+NºAsuntos!E14)/NºAsuntos!G14," - ")</f>
        <v>2.7305847076461771</v>
      </c>
      <c r="AP14" s="1174" t="str">
        <f t="shared" si="2"/>
        <v xml:space="preserve"> - </v>
      </c>
      <c r="AQ14" s="1174">
        <f>IF(ISNUMBER((H14-W14+K14)/(F14)),(H14-W14+K14)/(F14)," - ")</f>
        <v>-0.5544554455445545</v>
      </c>
      <c r="AR14" s="1175">
        <f>IF(ISNUMBER((Datos!P14-Datos!Q14)/(Datos!R14-Datos!P14+Datos!Q14)),(Datos!P14-Datos!Q14)/(Datos!R14-Datos!P14+Datos!Q14)," - ")</f>
        <v>4.8247730163603663E-3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3052</v>
      </c>
      <c r="G16" s="373">
        <f>IF(ISNUMBER(IF(D_I="SI",Datos!I16,Datos!I16+Datos!AC16)),IF(D_I="SI",Datos!I16,Datos!I16+Datos!AC16)," - ")</f>
        <v>2950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370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4254</v>
      </c>
      <c r="X16" s="240">
        <f>IF(ISNUMBER(Datos!Q16),Datos!Q16," - ")</f>
        <v>356</v>
      </c>
      <c r="Y16" s="374">
        <f>SUM(W16)</f>
        <v>4254</v>
      </c>
      <c r="Z16" s="375" t="str">
        <f>IF(ISNUMBER(Datos!CC16),Datos!CC16," - ")</f>
        <v xml:space="preserve"> - </v>
      </c>
      <c r="AA16" s="372">
        <f>IF(ISNUMBER(IF(D_I="SI",Datos!L16,Datos!L16+Datos!AF16)),IF(D_I="SI",Datos!L16,Datos!L16+Datos!AF16)," - ")</f>
        <v>2761</v>
      </c>
      <c r="AB16" s="374">
        <f>IF(ISNUMBER(Datos!R16),Datos!R16," - ")</f>
        <v>723</v>
      </c>
      <c r="AC16" s="374">
        <f t="shared" ref="AC16:AC22" si="8">IF(ISNUMBER(AA16+AB16),AA16+AB16," - ")</f>
        <v>3484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812</v>
      </c>
      <c r="AJ16" s="245" t="str">
        <f>IF(ISNUMBER(Datos!BW16),Datos!BW16," - ")</f>
        <v xml:space="preserve"> - </v>
      </c>
      <c r="AK16" s="246" t="str">
        <f>IF(ISNUMBER(Datos!BX16),Datos!BX16," - ")</f>
        <v xml:space="preserve"> - </v>
      </c>
      <c r="AL16" s="266">
        <f>IF(ISNUMBER(NºAsuntos!G16/NºAsuntos!E16),NºAsuntos!G16/NºAsuntos!E16," - ")</f>
        <v>1.073429220287661</v>
      </c>
      <c r="AM16" s="284">
        <f>IF(ISNUMBER(((NºAsuntos!I16/NºAsuntos!G16)*11)/factor_trimestre),((NºAsuntos!I16/NºAsuntos!G16)*11)/factor_trimestre," - ")</f>
        <v>1.9471086036671368</v>
      </c>
      <c r="AN16" s="267">
        <f>IF(ISNUMBER('Resol  Asuntos'!D16/NºAsuntos!G16),'Resol  Asuntos'!D16/NºAsuntos!G16," - ")</f>
        <v>0.19087917254348849</v>
      </c>
      <c r="AO16" s="268">
        <f>IF(ISNUMBER((NºAsuntos!C16+NºAsuntos!E16)/NºAsuntos!G16),(NºAsuntos!C16+NºAsuntos!E16)/NºAsuntos!G16," - ")</f>
        <v>1.6250587682181477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419</v>
      </c>
      <c r="X18" s="240">
        <f>IF(ISNUMBER(Datos!Q18),Datos!Q18," - ")</f>
        <v>7</v>
      </c>
      <c r="Y18" s="374">
        <f t="shared" si="9"/>
        <v>426</v>
      </c>
      <c r="Z18" s="375" t="str">
        <f>IF(ISNUMBER(Datos!CC18),Datos!CC18," - ")</f>
        <v xml:space="preserve"> - </v>
      </c>
      <c r="AA18" s="372">
        <f>IF(ISNUMBER(Datos!L18),Datos!L18,"-")</f>
        <v>110</v>
      </c>
      <c r="AB18" s="374">
        <f>IF(ISNUMBER(Datos!R18),Datos!R18," - ")</f>
        <v>6</v>
      </c>
      <c r="AC18" s="374">
        <f t="shared" si="8"/>
        <v>116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1.0939947780678851</v>
      </c>
      <c r="AM18" s="284">
        <f>IF(ISNUMBER(((NºAsuntos!I18/NºAsuntos!G18)*11)/factor_trimestre),((NºAsuntos!I18/NºAsuntos!G18)*11)/factor_trimestre," - ")</f>
        <v>0.78758949880668272</v>
      </c>
      <c r="AN18" s="267">
        <f>IF(ISNUMBER('Resol  Asuntos'!D18/NºAsuntos!G18),'Resol  Asuntos'!D18/NºAsuntos!G18," - ")</f>
        <v>4.0572792362768499E-2</v>
      </c>
      <c r="AO18" s="268">
        <f>IF(ISNUMBER((NºAsuntos!C18+NºAsuntos!E18)/NºAsuntos!G18),(NºAsuntos!C18+NºAsuntos!E18)/NºAsuntos!G18," - ")</f>
        <v>1.2625298329355608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3052</v>
      </c>
      <c r="G23" s="1163">
        <f>SUBTOTAL(9,G16:G22)</f>
        <v>3096</v>
      </c>
      <c r="H23" s="1162">
        <f t="shared" ref="H23:O23" si="13">SUBTOTAL(9,H15:H22)</f>
        <v>0</v>
      </c>
      <c r="I23" s="1164">
        <f t="shared" si="13"/>
        <v>0</v>
      </c>
      <c r="J23" s="1164">
        <f t="shared" si="13"/>
        <v>0</v>
      </c>
      <c r="K23" s="1164">
        <f t="shared" si="13"/>
        <v>0</v>
      </c>
      <c r="L23" s="1164">
        <f t="shared" si="13"/>
        <v>376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4673</v>
      </c>
      <c r="X23" s="1164">
        <f t="shared" si="14"/>
        <v>363</v>
      </c>
      <c r="Y23" s="1165">
        <f t="shared" si="14"/>
        <v>4680</v>
      </c>
      <c r="Z23" s="1165">
        <f t="shared" si="14"/>
        <v>0</v>
      </c>
      <c r="AA23" s="1165">
        <f t="shared" si="14"/>
        <v>2871</v>
      </c>
      <c r="AB23" s="1165">
        <f t="shared" si="14"/>
        <v>729</v>
      </c>
      <c r="AC23" s="1165">
        <f t="shared" si="14"/>
        <v>3600</v>
      </c>
      <c r="AD23" s="1165">
        <f t="shared" si="14"/>
        <v>0</v>
      </c>
      <c r="AE23" s="1169">
        <f t="shared" si="14"/>
        <v>0</v>
      </c>
      <c r="AF23" s="1162">
        <f t="shared" si="14"/>
        <v>0</v>
      </c>
      <c r="AG23" s="1170">
        <f t="shared" si="14"/>
        <v>0</v>
      </c>
      <c r="AH23" s="1167">
        <f t="shared" si="14"/>
        <v>0</v>
      </c>
      <c r="AI23" s="1162">
        <f t="shared" si="14"/>
        <v>829</v>
      </c>
      <c r="AJ23" s="1164">
        <f t="shared" si="14"/>
        <v>0</v>
      </c>
      <c r="AK23" s="1167">
        <f t="shared" si="14"/>
        <v>0</v>
      </c>
      <c r="AL23" s="1171">
        <f>IF(ISNUMBER(NºAsuntos!G23/NºAsuntos!E23),NºAsuntos!G23/NºAsuntos!E23," - ")</f>
        <v>1.0752416014726185</v>
      </c>
      <c r="AM23" s="1171">
        <f>IF(ISNUMBER(((NºAsuntos!I23/NºAsuntos!G23)*11)/factor_trimestre),((NºAsuntos!I23/NºAsuntos!G23)*11)/factor_trimestre," - ")</f>
        <v>1.8431414508880806</v>
      </c>
      <c r="AN23" s="1172">
        <f>IF(ISNUMBER('Resol  Asuntos'!D23/NºAsuntos!G23),'Resol  Asuntos'!D23/NºAsuntos!G23," - ")</f>
        <v>0.17740209715386263</v>
      </c>
      <c r="AO23" s="1173">
        <f>IF(ISNUMBER((NºAsuntos!C23+NºAsuntos!E23)/NºAsuntos!G23),(NºAsuntos!C23+NºAsuntos!E23)/NºAsuntos!G23," - ")</f>
        <v>1.5925529638347957</v>
      </c>
      <c r="AP23" s="1174" t="str">
        <f t="shared" si="2"/>
        <v xml:space="preserve"> - </v>
      </c>
      <c r="AQ23" s="1174">
        <f>IF(ISNUMBER((H23-W23+K23)/(F23)),(H23-W23+K23)/(F23)," - ")</f>
        <v>-1.531127129750983</v>
      </c>
      <c r="AR23" s="1175">
        <f>IF(ISNUMBER((Datos!P23-Datos!Q23)/(Datos!R23-Datos!P23+Datos!Q23)),(Datos!P23-Datos!Q23)/(Datos!R23-Datos!P23+Datos!Q23)," - ")</f>
        <v>1.8156424581005588E-2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3153</v>
      </c>
      <c r="G31" s="1118">
        <f t="shared" si="20"/>
        <v>3197</v>
      </c>
      <c r="H31" s="1117">
        <f t="shared" si="20"/>
        <v>0</v>
      </c>
      <c r="I31" s="1119">
        <f t="shared" si="20"/>
        <v>0</v>
      </c>
      <c r="J31" s="1119">
        <f t="shared" si="20"/>
        <v>0</v>
      </c>
      <c r="K31" s="1180">
        <f t="shared" si="20"/>
        <v>0</v>
      </c>
      <c r="L31" s="1119">
        <f t="shared" si="20"/>
        <v>1812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4729</v>
      </c>
      <c r="X31" s="1118">
        <f t="shared" si="21"/>
        <v>1689</v>
      </c>
      <c r="Y31" s="1125">
        <f t="shared" si="21"/>
        <v>6062</v>
      </c>
      <c r="Z31" s="1125">
        <f t="shared" si="21"/>
        <v>0</v>
      </c>
      <c r="AA31" s="1125">
        <f t="shared" si="21"/>
        <v>2974</v>
      </c>
      <c r="AB31" s="1125">
        <f t="shared" si="21"/>
        <v>23638</v>
      </c>
      <c r="AC31" s="1125">
        <f t="shared" si="21"/>
        <v>3849</v>
      </c>
      <c r="AD31" s="1125">
        <f t="shared" si="21"/>
        <v>0</v>
      </c>
      <c r="AE31" s="1127">
        <f t="shared" si="21"/>
        <v>0</v>
      </c>
      <c r="AF31" s="1128">
        <f t="shared" si="21"/>
        <v>0</v>
      </c>
      <c r="AG31" s="1129">
        <f t="shared" si="21"/>
        <v>0</v>
      </c>
      <c r="AH31" s="1127">
        <f t="shared" si="21"/>
        <v>0</v>
      </c>
      <c r="AI31" s="1117">
        <f t="shared" si="21"/>
        <v>3592</v>
      </c>
      <c r="AJ31" s="1117">
        <f t="shared" si="21"/>
        <v>0</v>
      </c>
      <c r="AK31" s="1127">
        <f t="shared" si="21"/>
        <v>0</v>
      </c>
      <c r="AL31" s="1183">
        <f>IF(ISNUMBER(NºAsuntos!G31/NºAsuntos!E31),NºAsuntos!G31/NºAsuntos!E31," - ")</f>
        <v>1.0539862479093105</v>
      </c>
      <c r="AM31" s="1184">
        <f>IF(ISNUMBER(((NºAsuntos!I31/NºAsuntos!G31)*11)/factor_trimestre),((NºAsuntos!I31/NºAsuntos!G31)*11)/factor_trimestre," - ")</f>
        <v>3.8103676276117429</v>
      </c>
      <c r="AN31" s="1184">
        <f>IF(ISNUMBER('Resol  Asuntos'!D31/NºAsuntos!G31),'Resol  Asuntos'!D31/NºAsuntos!G31," - ")</f>
        <v>0.31667107467160366</v>
      </c>
      <c r="AO31" s="1185">
        <f>IF(ISNUMBER((NºAsuntos!C31+NºAsuntos!E31)/NºAsuntos!G31),(NºAsuntos!C31+NºAsuntos!E31)/NºAsuntos!G31," - ")</f>
        <v>2.2617473331570133</v>
      </c>
      <c r="AP31" s="1186" t="str">
        <f t="shared" si="2"/>
        <v xml:space="preserve"> - </v>
      </c>
      <c r="AQ31" s="1187">
        <f>IF(OR(ISNUMBER(FIND("01",Criterios!A8,1)),ISNUMBER(FIND("02",Criterios!A8,1)),ISNUMBER(FIND("03",Criterios!A8,1)),ISNUMBER(FIND("04",Criterios!A8,1))),(I31-W31+K31)/(F31-K31),(H31-W31+K31)/(F31-K31))</f>
        <v>-1.4998414208690136</v>
      </c>
      <c r="AR31" s="1188">
        <f>IF(ISNUMBER((Datos!P31-Datos!Q31)/(Datos!R31-Datos!P31+Datos!Q31)),(Datos!P31-Datos!Q31)/(Datos!R31-Datos!P31+Datos!Q31)," - ")</f>
        <v>5.2307038060812249E-3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4.6225989500097864</v>
      </c>
      <c r="F33" s="276">
        <f>IF(ISNUMBER(STDEV(F8:F30)),STDEV(F8:F30),"-")</f>
        <v>1550.6259381295026</v>
      </c>
      <c r="G33" s="277">
        <f>IF(ISNUMBER(STDEV(G8:G30)),STDEV(G8:G30),"-")</f>
        <v>1442.7388141012516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2134.485451544972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1068.7038619020914</v>
      </c>
      <c r="AJ33" s="276">
        <f t="shared" si="25"/>
        <v>0</v>
      </c>
      <c r="AK33" s="278">
        <f t="shared" si="25"/>
        <v>0</v>
      </c>
      <c r="AL33" s="273">
        <f t="shared" si="25"/>
        <v>4.6066650678742743E-2</v>
      </c>
      <c r="AM33" s="274">
        <f t="shared" si="25"/>
        <v>1.97521263651361</v>
      </c>
      <c r="AN33" s="274">
        <f t="shared" si="25"/>
        <v>0.14430329972045194</v>
      </c>
      <c r="AO33" s="275">
        <f t="shared" si="25"/>
        <v>0.66490439199812723</v>
      </c>
      <c r="AP33" s="317" t="str">
        <f t="shared" si="25"/>
        <v>-</v>
      </c>
      <c r="AQ33" s="318">
        <f t="shared" si="25"/>
        <v>0.69061117089525192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P/hXdhVkQEjjlFkhrPpetH0bfWiidQ+pq8aXaOwtGZKFYRdCkfCxHxpItO2sNNQ/hqi2FRjz/mbmMLvb0pjjQ==" saltValue="X4zyq5Tn/q/8XnwqtKfc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VALLADOLID</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0.20875251509054327</v>
      </c>
      <c r="I9" s="395">
        <f>IF(ISNUMBER((Tasas!C9-Datos!BE9)/Datos!BE9),(Tasas!C9-Datos!BE9)/Datos!BE9," - ")</f>
        <v>6.9484750355830932E-2</v>
      </c>
      <c r="J9" s="394">
        <f>IF(ISNUMBER((Tasas!D9-Datos!BF9)/Datos!BF9),(Tasas!D9-Datos!BF9)/Datos!BF9," - ")</f>
        <v>0.3233184825045301</v>
      </c>
      <c r="K9" s="396">
        <f>IF(ISNUMBER((Tasas!E9-Datos!BG9)/Datos!BG9),(Tasas!E9-Datos!BG9)/Datos!BG9," - ")</f>
        <v>4.4330553134088103E-2</v>
      </c>
      <c r="M9" t="e">
        <f>IF(Monitorios="SI",Datos!CE9,0)</f>
        <v>#REF!</v>
      </c>
      <c r="N9" t="e">
        <f>IF(Monitorios="SI",Datos!CF9,0)</f>
        <v>#REF!</v>
      </c>
      <c r="O9" t="e">
        <f>IF(Monitorios="SI",Datos!CG9,0)</f>
        <v>#REF!</v>
      </c>
      <c r="P9" t="e">
        <f>IF(Monitorios="SI",Datos!CH9,0)</f>
        <v>#REF!</v>
      </c>
      <c r="Q9">
        <f>IF(J_V="SI",0,Datos!AG9)</f>
        <v>131</v>
      </c>
      <c r="R9">
        <f>IF(J_V="SI",0,Datos!AH9)</f>
        <v>285</v>
      </c>
      <c r="S9">
        <f>IF(J_V="SI",0,Datos!AI9)</f>
        <v>235</v>
      </c>
      <c r="T9">
        <f>IF(J_V="SI",0,Datos!AJ9)</f>
        <v>181</v>
      </c>
    </row>
    <row r="10" spans="2:20" ht="14.25">
      <c r="B10" s="300" t="s">
        <v>321</v>
      </c>
      <c r="C10" s="7" t="str">
        <f>Datos!A10</f>
        <v>Jdos. Violencia contra la mujer</v>
      </c>
      <c r="D10" s="397">
        <f>IF(ISNUMBER((Datos!I10-Datos!S10)/Datos!S10),(Datos!I10-Datos!S10)/Datos!S10," - ")</f>
        <v>2.0202020202020204E-2</v>
      </c>
      <c r="E10" s="393">
        <f>IF(ISNUMBER((Datos!J10-Datos!T10)/Datos!T10),(Datos!J10-Datos!T10)/Datos!T10," - ")</f>
        <v>-0.1076923076923077</v>
      </c>
      <c r="F10" s="393">
        <f>IF(ISNUMBER((Datos!K10-Datos!U10)/Datos!U10),(Datos!K10-Datos!U10)/Datos!U10," - ")</f>
        <v>-1.7543859649122806E-2</v>
      </c>
      <c r="G10" s="394">
        <f>IF(ISNUMBER((Datos!L10-Datos!V10)/Datos!V10),(Datos!L10-Datos!V10)/Datos!V10," - ")</f>
        <v>-3.7383177570093455E-2</v>
      </c>
      <c r="H10" s="244">
        <f>IF(ISNUMBER((Datos!M10-Datos!W10)/Datos!W10),(Datos!M10-Datos!W10)/Datos!W10," - ")</f>
        <v>0.66666666666666663</v>
      </c>
      <c r="I10" s="395">
        <f>IF(ISNUMBER((Tasas!C10-Datos!BE10)/Datos!BE10),(Tasas!C10-Datos!BE10)/Datos!BE10," - ")</f>
        <v>-2.0193591455273781E-2</v>
      </c>
      <c r="J10" s="394">
        <f>IF(ISNUMBER((Tasas!D10-Datos!BF10)/Datos!BF10),(Tasas!D10-Datos!BF10)/Datos!BF10," - ")</f>
        <v>0.69642857142857151</v>
      </c>
      <c r="K10" s="396">
        <f>IF(ISNUMBER((Tasas!E10-Datos!BG10)/Datos!BG10),(Tasas!E10-Datos!BG10)/Datos!BG10," - ")</f>
        <v>-1.3175087108013914E-2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-2.2988505747126436E-2</v>
      </c>
      <c r="I11" s="395">
        <f>IF(ISNUMBER((Tasas!C11-Datos!BE11)/Datos!BE11),(Tasas!C11-Datos!BE11)/Datos!BE11," - ")</f>
        <v>-0.21526556982946426</v>
      </c>
      <c r="J11" s="394">
        <f>IF(ISNUMBER((Tasas!D11-Datos!BF11)/Datos!BF11),(Tasas!D11-Datos!BF11)/Datos!BF11," - ")</f>
        <v>-0.27572016460905352</v>
      </c>
      <c r="K11" s="396">
        <f>IF(ISNUMBER((Tasas!E11-Datos!BG11)/Datos!BG11),(Tasas!E11-Datos!BG11)/Datos!BG11," - ")</f>
        <v>-0.12856822362812406</v>
      </c>
      <c r="M11" t="e">
        <f>IF(Monitorios="SI",Datos!CE11,0)</f>
        <v>#REF!</v>
      </c>
      <c r="N11" t="e">
        <f>IF(Monitorios="SI",Datos!CF11,0)</f>
        <v>#REF!</v>
      </c>
      <c r="O11" t="e">
        <f>IF(Monitorios="SI",Datos!CG11,0)</f>
        <v>#REF!</v>
      </c>
      <c r="P11" t="e">
        <f>IF(Monitorios="SI",Datos!CH11,0)</f>
        <v>#REF!</v>
      </c>
      <c r="Q11">
        <f>IF(J_V="SI",0,Datos!AG11)</f>
        <v>189</v>
      </c>
      <c r="R11">
        <f>IF(J_V="SI",0,Datos!AH11)</f>
        <v>344</v>
      </c>
      <c r="S11">
        <f>IF(J_V="SI",0,Datos!AI11)</f>
        <v>316</v>
      </c>
      <c r="T11">
        <f>IF(J_V="SI",0,Datos!AJ11)</f>
        <v>217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0.17674616695059625</v>
      </c>
      <c r="I14" s="402">
        <f>IF(ISNUMBER((Tasas!C14-Datos!BE14)/Datos!BE14),(Tasas!C14-Datos!BE14)/Datos!BE14," - ")</f>
        <v>3.0486996613698716E-2</v>
      </c>
      <c r="J14" s="400">
        <f>IF(ISNUMBER((Tasas!D14-Datos!BF14)/Datos!BF14),(Tasas!D14-Datos!BF14)/Datos!BF14," - ")</f>
        <v>0.20178089481037073</v>
      </c>
      <c r="K14" s="403">
        <f>IF(ISNUMBER((Tasas!E14-Datos!BG14)/Datos!BG14),(Tasas!E14-Datos!BG14)/Datos!BG14," - ")</f>
        <v>1.9496149276899629E-2</v>
      </c>
      <c r="M14" t="e">
        <f>IF(Monitorios="SI",Datos!CE14,0)</f>
        <v>#REF!</v>
      </c>
      <c r="N14" t="e">
        <f>IF(Monitorios="SI",Datos!CF14,0)</f>
        <v>#REF!</v>
      </c>
      <c r="O14" t="e">
        <f>IF(Monitorios="SI",Datos!CG14,0)</f>
        <v>#REF!</v>
      </c>
      <c r="P14" t="e">
        <f>IF(Monitorios="SI",Datos!CH14,0)</f>
        <v>#REF!</v>
      </c>
      <c r="Q14">
        <f>IF(J_V="SI",0,Datos!AG14)</f>
        <v>320</v>
      </c>
      <c r="R14">
        <f>IF(J_V="SI",0,Datos!AH14)</f>
        <v>629</v>
      </c>
      <c r="S14">
        <f>IF(J_V="SI",0,Datos!AI14)</f>
        <v>551</v>
      </c>
      <c r="T14">
        <f>IF(J_V="SI",0,Datos!AJ14)</f>
        <v>398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-8.3850931677018639E-2</v>
      </c>
      <c r="E16" s="393">
        <f>IF(ISNUMBER(
   IF(D_I="SI",(Datos!J16-Datos!T16)/Datos!T16,(Datos!J16+Datos!AD16-(Datos!T16+Datos!AL16))/(Datos!T16+Datos!AL16))
     ),IF(D_I="SI",(Datos!J16-Datos!T16)/Datos!T16,(Datos!J16+Datos!AD16-(Datos!T16+Datos!AL16))/(Datos!T16+Datos!AL16))," - ")</f>
        <v>0.14803012746234068</v>
      </c>
      <c r="F16" s="393">
        <f>IF(ISNUMBER(
   IF(D_I="SI",(Datos!K16-Datos!U16)/Datos!U16,(Datos!K16+Datos!AE16-(Datos!U16+Datos!AM16))/(Datos!U16+Datos!AM16))
     ),IF(D_I="SI",(Datos!K16-Datos!U16)/Datos!U16,(Datos!K16+Datos!AE16-(Datos!U16+Datos!AM16))/(Datos!U16+Datos!AM16))," - ")</f>
        <v>5.0370370370370371E-2</v>
      </c>
      <c r="G16" s="394">
        <f>IF(ISNUMBER(
   IF(D_I="SI",(Datos!L16-Datos!V16)/Datos!V16,(Datos!L16+Datos!AF16-(Datos!V16+Datos!AN16))/(Datos!V16+Datos!AN16))
     ),IF(D_I="SI",(Datos!L16-Datos!V16)/Datos!V16,(Datos!L16+Datos!AF16-(Datos!V16+Datos!AN16))/(Datos!V16+Datos!AN16))," - ")</f>
        <v>-1.8076644974692696E-3</v>
      </c>
      <c r="H16" s="244">
        <f>IF(ISNUMBER((Datos!M16-Datos!W16)/Datos!W16),(Datos!M16-Datos!W16)/Datos!W16," - ")</f>
        <v>0.26677067082683309</v>
      </c>
      <c r="I16" s="395">
        <f>IF(ISNUMBER((Tasas!C16-Datos!BE16)/Datos!BE16),(Tasas!C16-Datos!BE16)/Datos!BE16," - ")</f>
        <v>-4.9675844197167557E-2</v>
      </c>
      <c r="J16" s="394">
        <f>IF(ISNUMBER((Tasas!D16-Datos!BF16)/Datos!BF16),(Tasas!D16-Datos!BF16)/Datos!BF16," - ")</f>
        <v>0.20602285304388199</v>
      </c>
      <c r="K16" s="396">
        <f>IF(ISNUMBER((Tasas!E16-Datos!BG16)/Datos!BG16),(Tasas!E16-Datos!BG16)/Datos!BG16," - ")</f>
        <v>-1.3565945551034487E-2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-9.8765432098765427E-2</v>
      </c>
      <c r="E18" s="393">
        <f>IF(ISNUMBER(
   IF(D_I="SI",(Datos!J18-Datos!T18)/Datos!T18,(Datos!J18+Datos!AD18-(Datos!T18+Datos!AL18))/(Datos!T18+Datos!AL18))
     ),IF(D_I="SI",(Datos!J18-Datos!T18)/Datos!T18,(Datos!J18+Datos!AD18-(Datos!T18+Datos!AL18))/(Datos!T18+Datos!AL18))," - ")</f>
        <v>-4.0100250626566414E-2</v>
      </c>
      <c r="F18" s="393">
        <f>IF(ISNUMBER(
   IF(D_I="SI",(Datos!K18-Datos!U18)/Datos!U18,(Datos!K18+Datos!AE18-(Datos!U18+Datos!AM18))/(Datos!U18+Datos!AM18))
     ),IF(D_I="SI",(Datos!K18-Datos!U18)/Datos!U18,(Datos!K18+Datos!AE18-(Datos!U18+Datos!AM18))/(Datos!U18+Datos!AM18))," - ")</f>
        <v>-3.8990825688073397E-2</v>
      </c>
      <c r="G18" s="394">
        <f>IF(ISNUMBER(
   IF(D_I="SI",(Datos!L18-Datos!V18)/Datos!V18,(Datos!L18+Datos!AF18-(Datos!V18+Datos!AN18))/(Datos!V18+Datos!AN18))
     ),IF(D_I="SI",(Datos!L18-Datos!V18)/Datos!V18,(Datos!L18+Datos!AF18-(Datos!V18+Datos!AN18))/(Datos!V18+Datos!AN18))," - ")</f>
        <v>-0.12</v>
      </c>
      <c r="H18" s="244">
        <f>IF(ISNUMBER((Datos!M18-Datos!W18)/Datos!W18),(Datos!M18-Datos!W18)/Datos!W18," - ")</f>
        <v>0.21428571428571427</v>
      </c>
      <c r="I18" s="395">
        <f>IF(ISNUMBER((Tasas!C18-Datos!BE18)/Datos!BE18),(Tasas!C18-Datos!BE18)/Datos!BE18," - ")</f>
        <v>-8.4295942720763697E-2</v>
      </c>
      <c r="J18" s="394">
        <f>IF(ISNUMBER((Tasas!D18-Datos!BF18)/Datos!BF18),(Tasas!D18-Datos!BF18)/Datos!BF18," - ")</f>
        <v>0.26355267644050462</v>
      </c>
      <c r="K18" s="396">
        <f>IF(ISNUMBER((Tasas!E18-Datos!BG18)/Datos!BG18),(Tasas!E18-Datos!BG18)/Datos!BG18," - ")</f>
        <v>-1.87825184315428E-2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-8.4565345949142515E-2</v>
      </c>
      <c r="E23" s="399">
        <f>IF(ISNUMBER(
   IF(D_I="SI",(Datos!J23-Datos!T23)/Datos!T23,(Datos!J23+Datos!AD23-(Datos!T23+Datos!AL23))/(Datos!T23+Datos!AL23))
     ),IF(D_I="SI",(Datos!J23-Datos!T23)/Datos!T23,(Datos!J23+Datos!AD23-(Datos!T23+Datos!AL23))/(Datos!T23+Datos!AL23))," - ")</f>
        <v>0.12853804206699559</v>
      </c>
      <c r="F23" s="399">
        <f>IF(ISNUMBER(
   IF(D_I="SI",(Datos!K23-Datos!U23)/Datos!U23,(Datos!K23+Datos!AE23-(Datos!U23+Datos!AM23))/(Datos!U23+Datos!AM23))
     ),IF(D_I="SI",(Datos!K23-Datos!U23)/Datos!U23,(Datos!K23+Datos!AE23-(Datos!U23+Datos!AM23))/(Datos!U23+Datos!AM23))," - ")</f>
        <v>4.1685242978154256E-2</v>
      </c>
      <c r="G23" s="400">
        <f>IF(ISNUMBER(
   IF(D_I="SI",(Datos!L23-Datos!V23)/Datos!V23,(Datos!L23+Datos!AF23-(Datos!V23+Datos!AN23))/(Datos!V23+Datos!AN23))
     ),IF(D_I="SI",(Datos!L23-Datos!V23)/Datos!V23,(Datos!L23+Datos!AF23-(Datos!V23+Datos!AN23))/(Datos!V23+Datos!AN23))," - ")</f>
        <v>-6.9180214458664825E-3</v>
      </c>
      <c r="H23" s="401">
        <f>IF(ISNUMBER((Datos!M23-Datos!W23)/Datos!W23),(Datos!M23-Datos!W23)/Datos!W23," - ")</f>
        <v>0.26564885496183205</v>
      </c>
      <c r="I23" s="402">
        <f>IF(ISNUMBER((Tasas!C23-Datos!BE23)/Datos!BE23),(Tasas!C23-Datos!BE23)/Datos!BE23," - ")</f>
        <v>-4.6658301777478484E-2</v>
      </c>
      <c r="J23" s="400">
        <f>IF(ISNUMBER((Tasas!D23-Datos!BF23)/Datos!BF23),(Tasas!D23-Datos!BF23)/Datos!BF23," - ")</f>
        <v>0.21500123333164531</v>
      </c>
      <c r="K23" s="403">
        <f>IF(ISNUMBER((Tasas!E23-Datos!BG23)/Datos!BG23),(Tasas!E23-Datos!BG23)/Datos!BG23," - ")</f>
        <v>-1.2278087133569253E-2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3.5890658690964736E-2</v>
      </c>
      <c r="E31" s="409">
        <f>IF(ISNUMBER(
   IF(J_V="SI",(Datos!J31-Datos!T31)/Datos!T31,(Datos!J31+Datos!Z31-(Datos!T31+Datos!AH31))/(Datos!T31+Datos!AH31))
     ),IF(J_V="SI",(Datos!J31-Datos!T31)/Datos!T31,(Datos!J31+Datos!Z31-(Datos!T31+Datos!AH31))/(Datos!T31+Datos!AH31))," - ")</f>
        <v>-2.9838636978274588E-2</v>
      </c>
      <c r="F31" s="409">
        <f>IF(ISNUMBER(
   IF(J_V="SI",(Datos!K31-Datos!U31)/Datos!U31,(Datos!K31+Datos!AA31-(Datos!U31+Datos!AI31))/(Datos!U31+Datos!AI31))
     ),IF(J_V="SI",(Datos!K31-Datos!U31)/Datos!U31,(Datos!K31+Datos!AA31-(Datos!U31+Datos!AI31))/(Datos!U31+Datos!AI31))," - ")</f>
        <v>4.2496679946879149E-3</v>
      </c>
      <c r="G31" s="410">
        <f>IF(ISNUMBER(
   IF(J_V="SI",(Datos!L31-Datos!V31)/Datos!V31,(Datos!L31+Datos!AB31-(Datos!V31+Datos!AJ31))/(Datos!V31+Datos!AJ31))
     ),IF(J_V="SI",(Datos!L31-Datos!V31)/Datos!V31,(Datos!L31+Datos!AB31-(Datos!V31+Datos!AJ31))/(Datos!V31+Datos!AJ31))," - ")</f>
        <v>6.1456805642852155E-3</v>
      </c>
      <c r="H31" s="411">
        <f>IF(ISNUMBER((Datos!M31-Datos!W31)/Datos!W31),(Datos!M31-Datos!W31)/Datos!W31," - ")</f>
        <v>0.19613719613719613</v>
      </c>
      <c r="I31" s="408">
        <f>IF(ISNUMBER((Tasas!C31-Datos!BE31)/Datos!BE31),(Tasas!C31-Datos!BE31)/Datos!BE31," - ")</f>
        <v>1.8879892421406667E-3</v>
      </c>
      <c r="J31" s="409">
        <f>IF(ISNUMBER((Tasas!D31-Datos!BF31)/Datos!BF31),(Tasas!D31-Datos!BF31)/Datos!BF31," - ")</f>
        <v>0.19147228128439811</v>
      </c>
      <c r="K31" s="410">
        <f>IF(ISNUMBER((Tasas!E31-Datos!BG31)/Datos!BG31),(Tasas!E31-Datos!BG31)/Datos!BG31," - ")</f>
        <v>3.0010258346471271E-3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5.5061380650122546E-2</v>
      </c>
      <c r="E33" s="303">
        <f t="shared" si="1"/>
        <v>0.12582371347866644</v>
      </c>
      <c r="F33" s="303">
        <f t="shared" si="1"/>
        <v>4.3922170221599152E-2</v>
      </c>
      <c r="G33" s="304">
        <f t="shared" si="1"/>
        <v>5.4621698992455538E-2</v>
      </c>
      <c r="H33" s="310">
        <f t="shared" si="1"/>
        <v>0.20692481293709342</v>
      </c>
      <c r="I33" s="302">
        <f t="shared" si="1"/>
        <v>9.1268261270676068E-2</v>
      </c>
      <c r="J33" s="303">
        <f t="shared" si="1"/>
        <v>0.28421806226098179</v>
      </c>
      <c r="K33" s="304">
        <f t="shared" si="1"/>
        <v>5.4146371499590666E-2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dB81r8ND6R90DcCm7TS+TCUSSAG/XmL7LvURtdUbkzp1KCV8TymIN0CJ1FUE/r9PMmatv9fgpTbHH1cYHH3bw==" saltValue="B9KFnzj6JRJOnJkFRO8m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